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Questa_cartella_di_lavoro" defaultThemeVersion="166925"/>
  <mc:AlternateContent xmlns:mc="http://schemas.openxmlformats.org/markup-compatibility/2006">
    <mc:Choice Requires="x15">
      <x15ac:absPath xmlns:x15ac="http://schemas.microsoft.com/office/spreadsheetml/2010/11/ac" url="\\server\Armalam\A.R.E\ARE 4.0\03_Demo\"/>
    </mc:Choice>
  </mc:AlternateContent>
  <xr:revisionPtr revIDLastSave="0" documentId="13_ncr:1_{632DA103-57A4-423F-B5F6-67F202B3A95E}" xr6:coauthVersionLast="47" xr6:coauthVersionMax="47" xr10:uidLastSave="{00000000-0000-0000-0000-000000000000}"/>
  <bookViews>
    <workbookView xWindow="43080" yWindow="-120" windowWidth="29040" windowHeight="15840" xr2:uid="{2C9EFA37-A1F6-4791-A5D5-576B6E9A29DB}"/>
  </bookViews>
  <sheets>
    <sheet name="2-APP" sheetId="1" r:id="rId1"/>
  </sheets>
  <externalReferences>
    <externalReference r:id="rId2"/>
    <externalReference r:id="rId3"/>
    <externalReference r:id="rId4"/>
  </externalReferences>
  <definedNames>
    <definedName name="a">'[1]VER Sez. rettangolare'!$O$9</definedName>
    <definedName name="_xlnm.Print_Area" localSheetId="0">'2-APP'!$F$1:$N$220</definedName>
    <definedName name="B">#REF!</definedName>
    <definedName name="CHIODI">[3]Foglio1!#REF!</definedName>
    <definedName name="Esacc">'[1]VER Sez. rettangolare'!$O$18</definedName>
    <definedName name="eseacc">'[1]VER Sez. rettangolare'!$O$19</definedName>
    <definedName name="h0">#REF!</definedName>
    <definedName name="kiodi">[3]Foglio1!#REF!</definedName>
    <definedName name="luce">#REF!</definedName>
    <definedName name="Q">#REF!</definedName>
    <definedName name="Racc">'[1]VER Sez. rettangolare'!$O$17</definedName>
    <definedName name="raggio">#REF!</definedName>
    <definedName name="Rcls">'[1]VER Sez. rettangolare'!$O$11</definedName>
    <definedName name="soluzione2">[3]Foglio1!#REF!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02" i="1" l="1"/>
  <c r="L200" i="1"/>
  <c r="I206" i="1" s="1"/>
  <c r="L198" i="1"/>
  <c r="H194" i="1"/>
  <c r="N192" i="1"/>
  <c r="K192" i="1"/>
  <c r="L186" i="1"/>
  <c r="K184" i="1"/>
  <c r="N184" i="1" s="1"/>
  <c r="M176" i="1" s="1"/>
  <c r="G181" i="1"/>
  <c r="I180" i="1"/>
  <c r="G179" i="1"/>
  <c r="I178" i="1"/>
  <c r="H171" i="1"/>
  <c r="H173" i="1" s="1"/>
  <c r="C171" i="1"/>
  <c r="C170" i="1"/>
  <c r="J170" i="1" s="1"/>
  <c r="G169" i="1"/>
  <c r="N168" i="1"/>
  <c r="H172" i="1" s="1"/>
  <c r="H174" i="1" s="1"/>
  <c r="G168" i="1"/>
  <c r="N166" i="1"/>
  <c r="Z158" i="1"/>
  <c r="Y158" i="1"/>
  <c r="R158" i="1"/>
  <c r="U158" i="1" s="1"/>
  <c r="AF158" i="1" s="1"/>
  <c r="R157" i="1"/>
  <c r="Y156" i="1"/>
  <c r="R156" i="1"/>
  <c r="Y155" i="1"/>
  <c r="U155" i="1"/>
  <c r="R155" i="1"/>
  <c r="T155" i="1" s="1"/>
  <c r="AE155" i="1" s="1"/>
  <c r="AF154" i="1"/>
  <c r="Y154" i="1"/>
  <c r="U154" i="1"/>
  <c r="T154" i="1"/>
  <c r="AE154" i="1" s="1"/>
  <c r="R154" i="1"/>
  <c r="Z154" i="1" s="1"/>
  <c r="Z153" i="1"/>
  <c r="U153" i="1"/>
  <c r="AF153" i="1" s="1"/>
  <c r="T153" i="1"/>
  <c r="R153" i="1"/>
  <c r="Z152" i="1"/>
  <c r="T152" i="1"/>
  <c r="R152" i="1"/>
  <c r="Z151" i="1"/>
  <c r="Y151" i="1"/>
  <c r="T151" i="1"/>
  <c r="AE151" i="1" s="1"/>
  <c r="R151" i="1"/>
  <c r="Z150" i="1"/>
  <c r="Y150" i="1"/>
  <c r="U150" i="1"/>
  <c r="AF150" i="1" s="1"/>
  <c r="T150" i="1"/>
  <c r="AE150" i="1" s="1"/>
  <c r="R150" i="1"/>
  <c r="Y149" i="1"/>
  <c r="R149" i="1"/>
  <c r="Z148" i="1"/>
  <c r="Y148" i="1"/>
  <c r="R148" i="1"/>
  <c r="U148" i="1" s="1"/>
  <c r="U147" i="1"/>
  <c r="R147" i="1"/>
  <c r="Y146" i="1"/>
  <c r="R146" i="1"/>
  <c r="Y145" i="1"/>
  <c r="R145" i="1"/>
  <c r="Z144" i="1"/>
  <c r="Y144" i="1"/>
  <c r="R144" i="1"/>
  <c r="U144" i="1" s="1"/>
  <c r="AE143" i="1"/>
  <c r="Z143" i="1"/>
  <c r="Y143" i="1"/>
  <c r="T143" i="1"/>
  <c r="R143" i="1"/>
  <c r="Y142" i="1"/>
  <c r="U142" i="1"/>
  <c r="AF142" i="1" s="1"/>
  <c r="T142" i="1"/>
  <c r="AE142" i="1" s="1"/>
  <c r="R142" i="1"/>
  <c r="Z142" i="1" s="1"/>
  <c r="Z141" i="1"/>
  <c r="R141" i="1"/>
  <c r="U141" i="1" s="1"/>
  <c r="AF141" i="1" s="1"/>
  <c r="Z140" i="1"/>
  <c r="Y140" i="1"/>
  <c r="T140" i="1"/>
  <c r="AE140" i="1" s="1"/>
  <c r="R140" i="1"/>
  <c r="U139" i="1"/>
  <c r="R139" i="1"/>
  <c r="R138" i="1"/>
  <c r="Z137" i="1"/>
  <c r="R137" i="1"/>
  <c r="Z136" i="1"/>
  <c r="AF136" i="1" s="1"/>
  <c r="Y136" i="1"/>
  <c r="U136" i="1"/>
  <c r="R136" i="1"/>
  <c r="T136" i="1" s="1"/>
  <c r="AE136" i="1" s="1"/>
  <c r="AF135" i="1"/>
  <c r="Y135" i="1"/>
  <c r="U135" i="1"/>
  <c r="T135" i="1"/>
  <c r="AE135" i="1" s="1"/>
  <c r="R135" i="1"/>
  <c r="Z135" i="1" s="1"/>
  <c r="Z134" i="1"/>
  <c r="R134" i="1"/>
  <c r="G134" i="1"/>
  <c r="Z133" i="1"/>
  <c r="Y133" i="1"/>
  <c r="U133" i="1"/>
  <c r="AF133" i="1" s="1"/>
  <c r="R133" i="1"/>
  <c r="T133" i="1" s="1"/>
  <c r="G133" i="1"/>
  <c r="R132" i="1"/>
  <c r="G132" i="1"/>
  <c r="U131" i="1"/>
  <c r="R131" i="1"/>
  <c r="Z130" i="1"/>
  <c r="R130" i="1"/>
  <c r="Z129" i="1"/>
  <c r="Y129" i="1"/>
  <c r="R129" i="1"/>
  <c r="U129" i="1" s="1"/>
  <c r="AF129" i="1" s="1"/>
  <c r="M129" i="1"/>
  <c r="Z128" i="1"/>
  <c r="Y128" i="1"/>
  <c r="U128" i="1"/>
  <c r="AF128" i="1" s="1"/>
  <c r="R128" i="1"/>
  <c r="T128" i="1" s="1"/>
  <c r="M128" i="1"/>
  <c r="AE127" i="1"/>
  <c r="Z127" i="1"/>
  <c r="Y127" i="1"/>
  <c r="U127" i="1"/>
  <c r="AF127" i="1" s="1"/>
  <c r="T127" i="1"/>
  <c r="R127" i="1"/>
  <c r="I127" i="1"/>
  <c r="R126" i="1"/>
  <c r="R125" i="1"/>
  <c r="H125" i="1"/>
  <c r="Z124" i="1"/>
  <c r="Y124" i="1"/>
  <c r="R124" i="1"/>
  <c r="U124" i="1" s="1"/>
  <c r="J124" i="1"/>
  <c r="H124" i="1"/>
  <c r="Z123" i="1"/>
  <c r="AF123" i="1" s="1"/>
  <c r="Y123" i="1"/>
  <c r="U123" i="1"/>
  <c r="R123" i="1"/>
  <c r="T123" i="1" s="1"/>
  <c r="AE123" i="1" s="1"/>
  <c r="H123" i="1"/>
  <c r="AE122" i="1"/>
  <c r="Z122" i="1"/>
  <c r="Y122" i="1"/>
  <c r="T122" i="1"/>
  <c r="R122" i="1"/>
  <c r="H122" i="1"/>
  <c r="V121" i="1"/>
  <c r="R121" i="1"/>
  <c r="U120" i="1"/>
  <c r="AF120" i="1" s="1"/>
  <c r="R120" i="1"/>
  <c r="Z120" i="1" s="1"/>
  <c r="Z119" i="1"/>
  <c r="Y119" i="1"/>
  <c r="U119" i="1"/>
  <c r="AF119" i="1" s="1"/>
  <c r="R119" i="1"/>
  <c r="T119" i="1" s="1"/>
  <c r="AE119" i="1" s="1"/>
  <c r="Y118" i="1"/>
  <c r="AE118" i="1" s="1"/>
  <c r="V118" i="1"/>
  <c r="U118" i="1"/>
  <c r="AF118" i="1" s="1"/>
  <c r="T118" i="1"/>
  <c r="R118" i="1"/>
  <c r="Z118" i="1" s="1"/>
  <c r="AE117" i="1"/>
  <c r="Z117" i="1"/>
  <c r="U117" i="1"/>
  <c r="AF117" i="1" s="1"/>
  <c r="T117" i="1"/>
  <c r="R117" i="1"/>
  <c r="Y117" i="1" s="1"/>
  <c r="Z116" i="1"/>
  <c r="Y116" i="1"/>
  <c r="T116" i="1"/>
  <c r="AE116" i="1" s="1"/>
  <c r="R116" i="1"/>
  <c r="V115" i="1"/>
  <c r="U115" i="1"/>
  <c r="R115" i="1"/>
  <c r="Z115" i="1" s="1"/>
  <c r="Z114" i="1"/>
  <c r="Y114" i="1"/>
  <c r="AE114" i="1" s="1"/>
  <c r="T114" i="1"/>
  <c r="R114" i="1"/>
  <c r="U114" i="1" s="1"/>
  <c r="H114" i="1"/>
  <c r="AE113" i="1"/>
  <c r="AA113" i="1"/>
  <c r="Z113" i="1"/>
  <c r="Y113" i="1"/>
  <c r="T113" i="1"/>
  <c r="R113" i="1"/>
  <c r="Z112" i="1"/>
  <c r="V112" i="1"/>
  <c r="U112" i="1"/>
  <c r="AF112" i="1" s="1"/>
  <c r="T112" i="1"/>
  <c r="R112" i="1"/>
  <c r="AB112" i="1" s="1"/>
  <c r="Z111" i="1"/>
  <c r="Y111" i="1"/>
  <c r="V111" i="1"/>
  <c r="R111" i="1"/>
  <c r="U111" i="1" s="1"/>
  <c r="Z110" i="1"/>
  <c r="Y110" i="1"/>
  <c r="R110" i="1"/>
  <c r="T109" i="1"/>
  <c r="R109" i="1"/>
  <c r="AA109" i="1" s="1"/>
  <c r="Y108" i="1"/>
  <c r="V108" i="1"/>
  <c r="R108" i="1"/>
  <c r="T108" i="1" s="1"/>
  <c r="Z103" i="1"/>
  <c r="AA117" i="1" s="1"/>
  <c r="Z102" i="1"/>
  <c r="Z100" i="1"/>
  <c r="U99" i="1"/>
  <c r="Q98" i="1"/>
  <c r="Q96" i="1"/>
  <c r="Q95" i="1"/>
  <c r="V158" i="1" s="1"/>
  <c r="E93" i="1"/>
  <c r="I86" i="1"/>
  <c r="W85" i="1"/>
  <c r="V85" i="1" s="1"/>
  <c r="K82" i="1"/>
  <c r="X75" i="1"/>
  <c r="W75" i="1"/>
  <c r="V75" i="1"/>
  <c r="U75" i="1"/>
  <c r="W74" i="1"/>
  <c r="V74" i="1" s="1"/>
  <c r="U74" i="1"/>
  <c r="Y70" i="1"/>
  <c r="AB68" i="1"/>
  <c r="AA68" i="1"/>
  <c r="Z68" i="1"/>
  <c r="X68" i="1"/>
  <c r="W68" i="1"/>
  <c r="V68" i="1"/>
  <c r="U68" i="1"/>
  <c r="Y68" i="1" s="1"/>
  <c r="U66" i="1"/>
  <c r="T66" i="1"/>
  <c r="S66" i="1"/>
  <c r="W63" i="1"/>
  <c r="W62" i="1"/>
  <c r="W61" i="1"/>
  <c r="W60" i="1"/>
  <c r="W59" i="1"/>
  <c r="U59" i="1"/>
  <c r="W58" i="1"/>
  <c r="U58" i="1"/>
  <c r="W57" i="1"/>
  <c r="W56" i="1"/>
  <c r="W55" i="1"/>
  <c r="W54" i="1"/>
  <c r="W53" i="1"/>
  <c r="W52" i="1"/>
  <c r="W51" i="1"/>
  <c r="W50" i="1"/>
  <c r="K48" i="1"/>
  <c r="F44" i="1"/>
  <c r="E41" i="1"/>
  <c r="G36" i="1"/>
  <c r="G35" i="1"/>
  <c r="E35" i="1"/>
  <c r="G34" i="1"/>
  <c r="E34" i="1"/>
  <c r="G33" i="1"/>
  <c r="G32" i="1"/>
  <c r="X29" i="1"/>
  <c r="W29" i="1"/>
  <c r="V29" i="1"/>
  <c r="T29" i="1"/>
  <c r="S29" i="1"/>
  <c r="U29" i="1" s="1"/>
  <c r="R29" i="1"/>
  <c r="P29" i="1"/>
  <c r="G29" i="1"/>
  <c r="I84" i="1" s="1"/>
  <c r="U28" i="1"/>
  <c r="U27" i="1"/>
  <c r="G73" i="1" s="1"/>
  <c r="W26" i="1"/>
  <c r="U26" i="1"/>
  <c r="T26" i="1"/>
  <c r="S26" i="1"/>
  <c r="U25" i="1"/>
  <c r="I25" i="1"/>
  <c r="M23" i="1"/>
  <c r="G131" i="1" s="1"/>
  <c r="G137" i="1" s="1"/>
  <c r="E23" i="1"/>
  <c r="W43" i="1" s="1"/>
  <c r="M22" i="1"/>
  <c r="G130" i="1" s="1"/>
  <c r="E22" i="1"/>
  <c r="I190" i="1" s="1"/>
  <c r="I192" i="1" s="1"/>
  <c r="M18" i="1"/>
  <c r="X25" i="1" s="1"/>
  <c r="X26" i="1" s="1"/>
  <c r="M16" i="1"/>
  <c r="M14" i="1"/>
  <c r="M13" i="1"/>
  <c r="AS12" i="1"/>
  <c r="AR12" i="1"/>
  <c r="H12" i="1"/>
  <c r="M21" i="1" s="1"/>
  <c r="M10" i="1"/>
  <c r="M8" i="1"/>
  <c r="D207" i="1" s="1"/>
  <c r="D8" i="1"/>
  <c r="J5" i="1"/>
  <c r="E5" i="1"/>
  <c r="M17" i="1" s="1"/>
  <c r="E3" i="1"/>
  <c r="L60" i="1" l="1"/>
  <c r="L63" i="1"/>
  <c r="I191" i="1"/>
  <c r="L58" i="1"/>
  <c r="E40" i="1"/>
  <c r="L61" i="1"/>
  <c r="G129" i="1"/>
  <c r="E39" i="1"/>
  <c r="E33" i="1"/>
  <c r="E32" i="1"/>
  <c r="E36" i="1" s="1"/>
  <c r="AF115" i="1"/>
  <c r="K210" i="1"/>
  <c r="K209" i="1"/>
  <c r="K92" i="1"/>
  <c r="K93" i="1"/>
  <c r="AG112" i="1"/>
  <c r="I204" i="1"/>
  <c r="AG111" i="1"/>
  <c r="W156" i="1"/>
  <c r="W149" i="1"/>
  <c r="W146" i="1"/>
  <c r="W145" i="1"/>
  <c r="W125" i="1"/>
  <c r="W120" i="1"/>
  <c r="W109" i="1"/>
  <c r="W138" i="1"/>
  <c r="W131" i="1"/>
  <c r="W154" i="1"/>
  <c r="W150" i="1"/>
  <c r="W142" i="1"/>
  <c r="W135" i="1"/>
  <c r="W157" i="1"/>
  <c r="W147" i="1"/>
  <c r="W139" i="1"/>
  <c r="W155" i="1"/>
  <c r="W158" i="1"/>
  <c r="W148" i="1"/>
  <c r="W144" i="1"/>
  <c r="W129" i="1"/>
  <c r="W124" i="1"/>
  <c r="W114" i="1"/>
  <c r="W111" i="1"/>
  <c r="M9" i="1"/>
  <c r="I87" i="1" s="1"/>
  <c r="M15" i="1"/>
  <c r="U96" i="1"/>
  <c r="Z104" i="1"/>
  <c r="AB126" i="1" s="1"/>
  <c r="Z108" i="1"/>
  <c r="U109" i="1"/>
  <c r="AA111" i="1"/>
  <c r="W112" i="1"/>
  <c r="AH112" i="1" s="1"/>
  <c r="V116" i="1"/>
  <c r="AA118" i="1"/>
  <c r="AG118" i="1" s="1"/>
  <c r="Y120" i="1"/>
  <c r="W121" i="1"/>
  <c r="J122" i="1"/>
  <c r="J123" i="1"/>
  <c r="U126" i="1"/>
  <c r="AA130" i="1"/>
  <c r="AA139" i="1"/>
  <c r="Z139" i="1"/>
  <c r="AF139" i="1" s="1"/>
  <c r="Y139" i="1"/>
  <c r="T139" i="1"/>
  <c r="V140" i="1"/>
  <c r="W141" i="1"/>
  <c r="AA142" i="1"/>
  <c r="U146" i="1"/>
  <c r="T146" i="1"/>
  <c r="AE146" i="1" s="1"/>
  <c r="Z146" i="1"/>
  <c r="U149" i="1"/>
  <c r="T149" i="1"/>
  <c r="AE149" i="1" s="1"/>
  <c r="Z149" i="1"/>
  <c r="AA114" i="1"/>
  <c r="R43" i="1"/>
  <c r="K49" i="1" s="1"/>
  <c r="E42" i="1" s="1"/>
  <c r="L59" i="1"/>
  <c r="L62" i="1"/>
  <c r="I93" i="1"/>
  <c r="Z96" i="1"/>
  <c r="AA108" i="1"/>
  <c r="V109" i="1"/>
  <c r="AG109" i="1" s="1"/>
  <c r="AA110" i="1"/>
  <c r="T110" i="1"/>
  <c r="AE110" i="1" s="1"/>
  <c r="AB111" i="1"/>
  <c r="V113" i="1"/>
  <c r="AG113" i="1" s="1"/>
  <c r="W116" i="1"/>
  <c r="AA120" i="1"/>
  <c r="Y121" i="1"/>
  <c r="V122" i="1"/>
  <c r="AG122" i="1" s="1"/>
  <c r="U125" i="1"/>
  <c r="AF125" i="1" s="1"/>
  <c r="Z125" i="1"/>
  <c r="V126" i="1"/>
  <c r="AA129" i="1"/>
  <c r="Y138" i="1"/>
  <c r="AA138" i="1"/>
  <c r="W140" i="1"/>
  <c r="H176" i="1"/>
  <c r="H185" i="1" s="1"/>
  <c r="M11" i="1"/>
  <c r="X27" i="1"/>
  <c r="G30" i="1" s="1"/>
  <c r="G31" i="1" s="1"/>
  <c r="S43" i="1"/>
  <c r="U97" i="1"/>
  <c r="Z99" i="1"/>
  <c r="AB108" i="1"/>
  <c r="Y109" i="1"/>
  <c r="Y160" i="1" s="1"/>
  <c r="U110" i="1"/>
  <c r="AF110" i="1" s="1"/>
  <c r="W113" i="1"/>
  <c r="AH113" i="1" s="1"/>
  <c r="AF114" i="1"/>
  <c r="AA119" i="1"/>
  <c r="W122" i="1"/>
  <c r="AF124" i="1"/>
  <c r="T125" i="1"/>
  <c r="W126" i="1"/>
  <c r="G128" i="1"/>
  <c r="T138" i="1"/>
  <c r="V139" i="1"/>
  <c r="AA141" i="1"/>
  <c r="U145" i="1"/>
  <c r="AF145" i="1" s="1"/>
  <c r="T145" i="1"/>
  <c r="AE145" i="1" s="1"/>
  <c r="Z145" i="1"/>
  <c r="AA146" i="1"/>
  <c r="AF148" i="1"/>
  <c r="AA149" i="1"/>
  <c r="AA150" i="1"/>
  <c r="U156" i="1"/>
  <c r="AF156" i="1" s="1"/>
  <c r="T156" i="1"/>
  <c r="AE156" i="1" s="1"/>
  <c r="AA156" i="1"/>
  <c r="Z156" i="1"/>
  <c r="H184" i="1"/>
  <c r="W115" i="1"/>
  <c r="W119" i="1"/>
  <c r="AA135" i="1"/>
  <c r="T43" i="1"/>
  <c r="V153" i="1"/>
  <c r="V141" i="1"/>
  <c r="AG141" i="1" s="1"/>
  <c r="V137" i="1"/>
  <c r="V134" i="1"/>
  <c r="AG134" i="1" s="1"/>
  <c r="V130" i="1"/>
  <c r="V117" i="1"/>
  <c r="AG117" i="1" s="1"/>
  <c r="V156" i="1"/>
  <c r="AG156" i="1" s="1"/>
  <c r="AA152" i="1"/>
  <c r="AA151" i="1"/>
  <c r="V149" i="1"/>
  <c r="AG149" i="1" s="1"/>
  <c r="V146" i="1"/>
  <c r="AG146" i="1" s="1"/>
  <c r="V145" i="1"/>
  <c r="AA143" i="1"/>
  <c r="AA140" i="1"/>
  <c r="AA127" i="1"/>
  <c r="V125" i="1"/>
  <c r="AG125" i="1" s="1"/>
  <c r="AA122" i="1"/>
  <c r="V120" i="1"/>
  <c r="AG120" i="1" s="1"/>
  <c r="AA155" i="1"/>
  <c r="V138" i="1"/>
  <c r="AG138" i="1" s="1"/>
  <c r="AA136" i="1"/>
  <c r="AA133" i="1"/>
  <c r="V131" i="1"/>
  <c r="AG131" i="1" s="1"/>
  <c r="AA128" i="1"/>
  <c r="AA123" i="1"/>
  <c r="V154" i="1"/>
  <c r="V150" i="1"/>
  <c r="AA148" i="1"/>
  <c r="AA144" i="1"/>
  <c r="V142" i="1"/>
  <c r="AG142" i="1" s="1"/>
  <c r="V152" i="1"/>
  <c r="AG152" i="1" s="1"/>
  <c r="V151" i="1"/>
  <c r="AG151" i="1" s="1"/>
  <c r="V155" i="1"/>
  <c r="V136" i="1"/>
  <c r="AG136" i="1" s="1"/>
  <c r="V133" i="1"/>
  <c r="V128" i="1"/>
  <c r="AG128" i="1" s="1"/>
  <c r="V123" i="1"/>
  <c r="AG123" i="1" s="1"/>
  <c r="V119" i="1"/>
  <c r="AG119" i="1" s="1"/>
  <c r="Z97" i="1"/>
  <c r="AE108" i="1"/>
  <c r="Z109" i="1"/>
  <c r="V110" i="1"/>
  <c r="AG110" i="1" s="1"/>
  <c r="AF111" i="1"/>
  <c r="Y115" i="1"/>
  <c r="AA115" i="1"/>
  <c r="AG115" i="1" s="1"/>
  <c r="W117" i="1"/>
  <c r="W123" i="1"/>
  <c r="V124" i="1"/>
  <c r="Y125" i="1"/>
  <c r="V127" i="1"/>
  <c r="Y131" i="1"/>
  <c r="AA131" i="1"/>
  <c r="AA132" i="1"/>
  <c r="Z132" i="1"/>
  <c r="Y132" i="1"/>
  <c r="T132" i="1"/>
  <c r="I144" i="1"/>
  <c r="G138" i="1"/>
  <c r="U137" i="1"/>
  <c r="AF137" i="1" s="1"/>
  <c r="T137" i="1"/>
  <c r="Y137" i="1"/>
  <c r="U138" i="1"/>
  <c r="AB146" i="1"/>
  <c r="V148" i="1"/>
  <c r="I209" i="1"/>
  <c r="AB110" i="1"/>
  <c r="AB113" i="1"/>
  <c r="AA126" i="1"/>
  <c r="Z126" i="1"/>
  <c r="Y126" i="1"/>
  <c r="T126" i="1"/>
  <c r="AE126" i="1" s="1"/>
  <c r="AA134" i="1"/>
  <c r="AB137" i="1"/>
  <c r="M173" i="1"/>
  <c r="M178" i="1"/>
  <c r="M172" i="1"/>
  <c r="I207" i="1" s="1"/>
  <c r="M181" i="1"/>
  <c r="M177" i="1"/>
  <c r="M180" i="1"/>
  <c r="M174" i="1"/>
  <c r="U43" i="1"/>
  <c r="U95" i="1"/>
  <c r="U108" i="1"/>
  <c r="W110" i="1"/>
  <c r="AH110" i="1" s="1"/>
  <c r="T111" i="1"/>
  <c r="AE111" i="1" s="1"/>
  <c r="Y112" i="1"/>
  <c r="AE112" i="1" s="1"/>
  <c r="AA112" i="1"/>
  <c r="V114" i="1"/>
  <c r="AG114" i="1" s="1"/>
  <c r="T115" i="1"/>
  <c r="AE115" i="1" s="1"/>
  <c r="AA116" i="1"/>
  <c r="AA125" i="1"/>
  <c r="W127" i="1"/>
  <c r="AE128" i="1"/>
  <c r="M130" i="1"/>
  <c r="T131" i="1"/>
  <c r="U132" i="1"/>
  <c r="AF132" i="1" s="1"/>
  <c r="AE133" i="1"/>
  <c r="U134" i="1"/>
  <c r="AF134" i="1" s="1"/>
  <c r="T134" i="1"/>
  <c r="Y134" i="1"/>
  <c r="W137" i="1"/>
  <c r="Z138" i="1"/>
  <c r="AF144" i="1"/>
  <c r="AA145" i="1"/>
  <c r="AA147" i="1"/>
  <c r="Z147" i="1"/>
  <c r="AF147" i="1" s="1"/>
  <c r="Y147" i="1"/>
  <c r="T147" i="1"/>
  <c r="AE147" i="1" s="1"/>
  <c r="I150" i="1"/>
  <c r="W153" i="1"/>
  <c r="AA154" i="1"/>
  <c r="M179" i="1"/>
  <c r="I42" i="1"/>
  <c r="V43" i="1"/>
  <c r="I89" i="1"/>
  <c r="U98" i="1"/>
  <c r="AB109" i="1"/>
  <c r="AA121" i="1"/>
  <c r="AG121" i="1" s="1"/>
  <c r="Z121" i="1"/>
  <c r="T121" i="1"/>
  <c r="AE121" i="1" s="1"/>
  <c r="AB125" i="1"/>
  <c r="U130" i="1"/>
  <c r="AF130" i="1" s="1"/>
  <c r="T130" i="1"/>
  <c r="AE130" i="1" s="1"/>
  <c r="Y130" i="1"/>
  <c r="V132" i="1"/>
  <c r="AG132" i="1" s="1"/>
  <c r="W134" i="1"/>
  <c r="V135" i="1"/>
  <c r="W136" i="1"/>
  <c r="AB138" i="1"/>
  <c r="V143" i="1"/>
  <c r="AG143" i="1" s="1"/>
  <c r="V144" i="1"/>
  <c r="AG144" i="1" s="1"/>
  <c r="AB150" i="1"/>
  <c r="W152" i="1"/>
  <c r="AA157" i="1"/>
  <c r="Z157" i="1"/>
  <c r="Y157" i="1"/>
  <c r="U157" i="1"/>
  <c r="AF157" i="1" s="1"/>
  <c r="T157" i="1"/>
  <c r="L42" i="1"/>
  <c r="I92" i="1"/>
  <c r="Z98" i="1"/>
  <c r="W108" i="1"/>
  <c r="AH108" i="1" s="1"/>
  <c r="AB117" i="1"/>
  <c r="W118" i="1"/>
  <c r="T120" i="1"/>
  <c r="AE120" i="1" s="1"/>
  <c r="U121" i="1"/>
  <c r="AA124" i="1"/>
  <c r="W128" i="1"/>
  <c r="V129" i="1"/>
  <c r="AG129" i="1" s="1"/>
  <c r="W130" i="1"/>
  <c r="Z131" i="1"/>
  <c r="AF131" i="1" s="1"/>
  <c r="W132" i="1"/>
  <c r="W133" i="1"/>
  <c r="AA137" i="1"/>
  <c r="AB140" i="1"/>
  <c r="W143" i="1"/>
  <c r="V147" i="1"/>
  <c r="AG147" i="1" s="1"/>
  <c r="W151" i="1"/>
  <c r="AA153" i="1"/>
  <c r="V157" i="1"/>
  <c r="AG157" i="1" s="1"/>
  <c r="U113" i="1"/>
  <c r="AF113" i="1" s="1"/>
  <c r="U116" i="1"/>
  <c r="AF116" i="1" s="1"/>
  <c r="AB118" i="1"/>
  <c r="U122" i="1"/>
  <c r="AF122" i="1" s="1"/>
  <c r="AB135" i="1"/>
  <c r="U140" i="1"/>
  <c r="AF140" i="1" s="1"/>
  <c r="Y141" i="1"/>
  <c r="AB142" i="1"/>
  <c r="U143" i="1"/>
  <c r="AF143" i="1" s="1"/>
  <c r="U151" i="1"/>
  <c r="AF151" i="1" s="1"/>
  <c r="U152" i="1"/>
  <c r="AF152" i="1" s="1"/>
  <c r="Y153" i="1"/>
  <c r="AE153" i="1" s="1"/>
  <c r="AB154" i="1"/>
  <c r="Y152" i="1"/>
  <c r="AE152" i="1" s="1"/>
  <c r="Z155" i="1"/>
  <c r="AF155" i="1" s="1"/>
  <c r="AA158" i="1"/>
  <c r="AG158" i="1" s="1"/>
  <c r="AB129" i="1"/>
  <c r="T141" i="1"/>
  <c r="AB144" i="1"/>
  <c r="AB158" i="1"/>
  <c r="AB119" i="1"/>
  <c r="AB123" i="1"/>
  <c r="T124" i="1"/>
  <c r="AE124" i="1" s="1"/>
  <c r="AB128" i="1"/>
  <c r="T129" i="1"/>
  <c r="AE129" i="1" s="1"/>
  <c r="AB133" i="1"/>
  <c r="T144" i="1"/>
  <c r="AE144" i="1" s="1"/>
  <c r="T148" i="1"/>
  <c r="AE148" i="1" s="1"/>
  <c r="AB155" i="1"/>
  <c r="T158" i="1"/>
  <c r="AE158" i="1" s="1"/>
  <c r="H196" i="1" l="1"/>
  <c r="H199" i="1" s="1"/>
  <c r="H195" i="1"/>
  <c r="AB136" i="1"/>
  <c r="AB148" i="1"/>
  <c r="AB141" i="1"/>
  <c r="AH141" i="1" s="1"/>
  <c r="AH130" i="1"/>
  <c r="AB116" i="1"/>
  <c r="AH136" i="1"/>
  <c r="AE134" i="1"/>
  <c r="U160" i="1"/>
  <c r="AF108" i="1"/>
  <c r="AB152" i="1"/>
  <c r="AH152" i="1" s="1"/>
  <c r="AE137" i="1"/>
  <c r="AG130" i="1"/>
  <c r="AB131" i="1"/>
  <c r="AB120" i="1"/>
  <c r="AH120" i="1" s="1"/>
  <c r="AB153" i="1"/>
  <c r="AF146" i="1"/>
  <c r="AB134" i="1"/>
  <c r="AH129" i="1"/>
  <c r="AH135" i="1"/>
  <c r="AH125" i="1"/>
  <c r="AB130" i="1"/>
  <c r="E46" i="1"/>
  <c r="AG135" i="1"/>
  <c r="AB122" i="1"/>
  <c r="AH122" i="1" s="1"/>
  <c r="AB149" i="1"/>
  <c r="AG145" i="1"/>
  <c r="AH119" i="1"/>
  <c r="AG139" i="1"/>
  <c r="AH140" i="1"/>
  <c r="AG116" i="1"/>
  <c r="AH144" i="1"/>
  <c r="AH142" i="1"/>
  <c r="AH145" i="1"/>
  <c r="AE109" i="1"/>
  <c r="AE141" i="1"/>
  <c r="AH128" i="1"/>
  <c r="AH134" i="1"/>
  <c r="AB156" i="1"/>
  <c r="AH156" i="1" s="1"/>
  <c r="AG148" i="1"/>
  <c r="AG127" i="1"/>
  <c r="AG133" i="1"/>
  <c r="AG150" i="1"/>
  <c r="AG137" i="1"/>
  <c r="AH115" i="1"/>
  <c r="AE138" i="1"/>
  <c r="AA160" i="1"/>
  <c r="AB127" i="1"/>
  <c r="AH127" i="1" s="1"/>
  <c r="AB114" i="1"/>
  <c r="W73" i="1"/>
  <c r="AH148" i="1"/>
  <c r="AH150" i="1"/>
  <c r="AH146" i="1"/>
  <c r="E43" i="1"/>
  <c r="I143" i="1"/>
  <c r="I149" i="1"/>
  <c r="AG154" i="1"/>
  <c r="G189" i="1"/>
  <c r="G188" i="1"/>
  <c r="H186" i="1"/>
  <c r="W83" i="1"/>
  <c r="H187" i="1"/>
  <c r="AH116" i="1"/>
  <c r="AG140" i="1"/>
  <c r="AF126" i="1"/>
  <c r="AB147" i="1"/>
  <c r="AH158" i="1"/>
  <c r="AH154" i="1"/>
  <c r="AH149" i="1"/>
  <c r="AB124" i="1"/>
  <c r="AH124" i="1" s="1"/>
  <c r="AF121" i="1"/>
  <c r="AB145" i="1"/>
  <c r="V160" i="1"/>
  <c r="AH153" i="1"/>
  <c r="AE131" i="1"/>
  <c r="AB143" i="1"/>
  <c r="AH143" i="1" s="1"/>
  <c r="AE132" i="1"/>
  <c r="AG124" i="1"/>
  <c r="T160" i="1"/>
  <c r="AG155" i="1"/>
  <c r="AG153" i="1"/>
  <c r="AH126" i="1"/>
  <c r="G127" i="1"/>
  <c r="M139" i="1" s="1"/>
  <c r="M140" i="1" s="1"/>
  <c r="I88" i="1"/>
  <c r="D86" i="1" s="1"/>
  <c r="D206" i="1"/>
  <c r="D205" i="1" s="1"/>
  <c r="AB115" i="1"/>
  <c r="AE139" i="1"/>
  <c r="AB132" i="1"/>
  <c r="AH155" i="1"/>
  <c r="AH131" i="1"/>
  <c r="L68" i="1"/>
  <c r="AH133" i="1"/>
  <c r="AE157" i="1"/>
  <c r="AB151" i="1"/>
  <c r="AH151" i="1" s="1"/>
  <c r="AB139" i="1"/>
  <c r="AH123" i="1"/>
  <c r="AE125" i="1"/>
  <c r="AE160" i="1" s="1"/>
  <c r="U85" i="1"/>
  <c r="W84" i="1"/>
  <c r="U84" i="1"/>
  <c r="X85" i="1"/>
  <c r="AG126" i="1"/>
  <c r="AF149" i="1"/>
  <c r="AF109" i="1"/>
  <c r="AH111" i="1"/>
  <c r="AH139" i="1"/>
  <c r="AH138" i="1"/>
  <c r="AB121" i="1"/>
  <c r="AH121" i="1" s="1"/>
  <c r="AH132" i="1"/>
  <c r="AH118" i="1"/>
  <c r="AH137" i="1"/>
  <c r="AF138" i="1"/>
  <c r="AH117" i="1"/>
  <c r="AB157" i="1"/>
  <c r="AH157" i="1" s="1"/>
  <c r="Z160" i="1"/>
  <c r="AH114" i="1"/>
  <c r="AH147" i="1"/>
  <c r="AH109" i="1"/>
  <c r="AG108" i="1"/>
  <c r="AG160" i="1" s="1"/>
  <c r="L67" i="1"/>
  <c r="AH160" i="1" l="1"/>
  <c r="N140" i="1"/>
  <c r="L39" i="1"/>
  <c r="H198" i="1"/>
  <c r="M216" i="1" s="1"/>
  <c r="N216" i="1" s="1"/>
  <c r="X73" i="1"/>
  <c r="V73" i="1"/>
  <c r="U73" i="1"/>
  <c r="I85" i="1"/>
  <c r="I83" i="1" s="1"/>
  <c r="I82" i="1" s="1"/>
  <c r="E50" i="1"/>
  <c r="K50" i="1" s="1"/>
  <c r="G72" i="1" s="1"/>
  <c r="G74" i="1" s="1"/>
  <c r="E49" i="1"/>
  <c r="H52" i="1" s="1"/>
  <c r="E48" i="1"/>
  <c r="H51" i="1" s="1"/>
  <c r="H50" i="1"/>
  <c r="E47" i="1"/>
  <c r="M212" i="1"/>
  <c r="V83" i="1"/>
  <c r="U83" i="1"/>
  <c r="X83" i="1"/>
  <c r="I205" i="1"/>
  <c r="I203" i="1" s="1"/>
  <c r="I202" i="1" s="1"/>
  <c r="M214" i="1" s="1"/>
  <c r="N214" i="1" s="1"/>
  <c r="M151" i="1"/>
  <c r="M145" i="1"/>
  <c r="V84" i="1"/>
  <c r="I210" i="1"/>
  <c r="M218" i="1" s="1"/>
  <c r="N218" i="1" s="1"/>
  <c r="AF160" i="1"/>
  <c r="N212" i="1" l="1"/>
  <c r="I43" i="1"/>
  <c r="M146" i="1"/>
  <c r="H146" i="1"/>
  <c r="M152" i="1"/>
  <c r="H152" i="1"/>
  <c r="G60" i="1"/>
  <c r="H64" i="1" s="1"/>
  <c r="H67" i="1" s="1"/>
  <c r="G57" i="1"/>
  <c r="G58" i="1" s="1"/>
  <c r="G59" i="1" s="1"/>
  <c r="H63" i="1" s="1"/>
  <c r="H78" i="1"/>
  <c r="H79" i="1"/>
  <c r="H77" i="1"/>
  <c r="H68" i="1" l="1"/>
  <c r="M105" i="1" s="1"/>
  <c r="H66" i="1"/>
  <c r="M102" i="1" s="1"/>
  <c r="N152" i="1"/>
  <c r="L41" i="1"/>
  <c r="M96" i="1"/>
  <c r="M99" i="1"/>
  <c r="N146" i="1"/>
  <c r="L40" i="1"/>
  <c r="H42" i="1" l="1"/>
  <c r="N105" i="1"/>
  <c r="H40" i="1"/>
  <c r="N99" i="1"/>
  <c r="N96" i="1"/>
  <c r="H39" i="1"/>
  <c r="N37" i="1" s="1"/>
  <c r="N102" i="1"/>
  <c r="H4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Mirko</author>
    <author>mirko tommasini</author>
    <author>matteo</author>
  </authors>
  <commentList>
    <comment ref="AR12" authorId="0" shapeId="0" xr:uid="{1DE48996-2EBB-4622-97E0-488F4D899628}">
      <text>
        <r>
          <rPr>
            <sz val="9"/>
            <color indexed="81"/>
            <rFont val="Calibri"/>
            <family val="2"/>
          </rPr>
          <t xml:space="preserve">valori assegnati, DA CONTROLLARE SE PRESENTI IN NORMATIVA
</t>
        </r>
      </text>
    </comment>
    <comment ref="AS12" authorId="0" shapeId="0" xr:uid="{01D40484-3DA8-489F-A31A-4AFCBBC97ADF}">
      <text>
        <r>
          <rPr>
            <sz val="9"/>
            <color indexed="81"/>
            <rFont val="Calibri"/>
            <family val="2"/>
          </rPr>
          <t xml:space="preserve">valori assegnati, DA CONTROLLARE SE PRESENTI IN NORMATIVA
</t>
        </r>
      </text>
    </comment>
    <comment ref="K20" authorId="1" shapeId="0" xr:uid="{22A5E886-F2DC-422D-9DDE-DCBAF0592776}">
      <text>
        <r>
          <rPr>
            <sz val="9"/>
            <color indexed="81"/>
            <rFont val="Arial"/>
            <family val="2"/>
          </rPr>
          <t>La lunghezza efficace va calcolata opportunamente secondo quanto specificato nella norma di riferimento adottata, dalle modalità di carico e dalla tipologia di vincoli.</t>
        </r>
      </text>
    </comment>
    <comment ref="I24" authorId="0" shapeId="0" xr:uid="{81FF0AD5-DE45-4277-B3F8-6B9DCEBF97FE}">
      <text>
        <r>
          <rPr>
            <sz val="9"/>
            <color indexed="81"/>
            <rFont val="Calibri"/>
            <family val="2"/>
          </rPr>
          <t>Se posto pari a 0 non effettua la verifica di compressione ortogonale alla fibra in corrispondenza dell'appoggio.</t>
        </r>
      </text>
    </comment>
    <comment ref="G25" authorId="0" shapeId="0" xr:uid="{CB4A48C7-6F80-4A28-9A89-0A193C60A769}">
      <text>
        <r>
          <rPr>
            <sz val="9"/>
            <color indexed="81"/>
            <rFont val="Calibri"/>
            <family val="2"/>
          </rPr>
          <t>Se appoggio puntuale selezionare opzione "discont.".</t>
        </r>
      </text>
    </comment>
    <comment ref="I25" authorId="0" shapeId="0" xr:uid="{47B64570-E66F-424D-A2ED-7FD48DDFD7FA}">
      <text>
        <r>
          <rPr>
            <sz val="9"/>
            <color indexed="81"/>
            <rFont val="Calibri"/>
            <family val="2"/>
          </rPr>
          <t>Può assumere un valore minore o, al massimo uguale, alla base della trave. Se posto pari a 0 non effettua la verifica di compressione ortogonale alla fibra in corrispondenza dell'appoggio.</t>
        </r>
      </text>
    </comment>
    <comment ref="I26" authorId="0" shapeId="0" xr:uid="{01E08B13-70CE-476C-9702-D3C37C0203F3}">
      <text>
        <r>
          <rPr>
            <sz val="9"/>
            <color indexed="81"/>
            <rFont val="Calibri"/>
            <family val="2"/>
          </rPr>
          <t xml:space="preserve">E' la distanza dell'estremo della trave dalla faccia dell'appoggio (vd. Fig. 6.2 EC5:1-1).
</t>
        </r>
      </text>
    </comment>
    <comment ref="I43" authorId="0" shapeId="0" xr:uid="{B7AE101B-23C3-45CD-BE6E-AEF1D709339B}">
      <text>
        <r>
          <rPr>
            <sz val="9"/>
            <color indexed="81"/>
            <rFont val="Calibri"/>
            <family val="2"/>
          </rPr>
          <t xml:space="preserve">Se verifiche non necessarie impostare resistenza al fuoco </t>
        </r>
        <r>
          <rPr>
            <b/>
            <sz val="9"/>
            <color indexed="81"/>
            <rFont val="Calibri"/>
            <family val="2"/>
          </rPr>
          <t>R0</t>
        </r>
        <r>
          <rPr>
            <sz val="9"/>
            <color indexed="81"/>
            <rFont val="Calibri"/>
            <family val="2"/>
          </rPr>
          <t>.</t>
        </r>
      </text>
    </comment>
    <comment ref="Q93" authorId="2" shapeId="0" xr:uid="{C32DDE0D-C556-4532-9AFA-A7146B1719F6}">
      <text>
        <r>
          <rPr>
            <b/>
            <sz val="8"/>
            <color indexed="81"/>
            <rFont val="Tahoma"/>
            <family val="2"/>
          </rPr>
          <t>matteo:</t>
        </r>
        <r>
          <rPr>
            <sz val="8"/>
            <color indexed="81"/>
            <rFont val="Tahoma"/>
            <family val="2"/>
          </rPr>
          <t xml:space="preserve">
da cllegare alla casella della luce</t>
        </r>
      </text>
    </comment>
    <comment ref="Q94" authorId="2" shapeId="0" xr:uid="{17CCB3A9-3F2B-4F7B-A498-3354ED1B0466}">
      <text>
        <r>
          <rPr>
            <b/>
            <sz val="8"/>
            <color indexed="81"/>
            <rFont val="Tahoma"/>
            <family val="2"/>
          </rPr>
          <t>matteo:</t>
        </r>
        <r>
          <rPr>
            <sz val="8"/>
            <color indexed="81"/>
            <rFont val="Tahoma"/>
            <family val="2"/>
          </rPr>
          <t xml:space="preserve">
da collegare alla casella del modulo elastico</t>
        </r>
      </text>
    </comment>
    <comment ref="Q95" authorId="2" shapeId="0" xr:uid="{86A4AB71-DDE4-4D9F-950C-30843F1CCB9F}">
      <text>
        <r>
          <rPr>
            <b/>
            <sz val="8"/>
            <color indexed="81"/>
            <rFont val="Tahoma"/>
            <family val="2"/>
          </rPr>
          <t>matteo:</t>
        </r>
        <r>
          <rPr>
            <sz val="8"/>
            <color indexed="81"/>
            <rFont val="Tahoma"/>
            <family val="2"/>
          </rPr>
          <t xml:space="preserve">
da colleare alla casella Jy</t>
        </r>
      </text>
    </comment>
    <comment ref="Q96" authorId="2" shapeId="0" xr:uid="{48E409C4-6D86-4D51-A92F-4CD3CEA5EB55}">
      <text>
        <r>
          <rPr>
            <b/>
            <sz val="8"/>
            <color indexed="81"/>
            <rFont val="Tahoma"/>
            <family val="2"/>
          </rPr>
          <t>matteo:</t>
        </r>
        <r>
          <rPr>
            <sz val="8"/>
            <color indexed="81"/>
            <rFont val="Tahoma"/>
            <family val="2"/>
          </rPr>
          <t xml:space="preserve">
da collegare alla casella Jz</t>
        </r>
      </text>
    </comment>
    <comment ref="Q97" authorId="2" shapeId="0" xr:uid="{38B923F0-09A9-48FB-90A5-9F6AE23BEB14}">
      <text>
        <r>
          <rPr>
            <b/>
            <sz val="8"/>
            <color indexed="81"/>
            <rFont val="Tahoma"/>
            <family val="2"/>
          </rPr>
          <t>matteo:</t>
        </r>
        <r>
          <rPr>
            <sz val="8"/>
            <color indexed="81"/>
            <rFont val="Tahoma"/>
            <family val="2"/>
          </rPr>
          <t xml:space="preserve">
da collegare alla casella del modulo elastico</t>
        </r>
      </text>
    </comment>
    <comment ref="Q98" authorId="2" shapeId="0" xr:uid="{A0585F37-704B-48A8-8237-2BA5F28A8013}">
      <text>
        <r>
          <rPr>
            <b/>
            <sz val="8"/>
            <color indexed="81"/>
            <rFont val="Tahoma"/>
            <family val="2"/>
          </rPr>
          <t>matteo:</t>
        </r>
        <r>
          <rPr>
            <sz val="8"/>
            <color indexed="81"/>
            <rFont val="Tahoma"/>
            <family val="2"/>
          </rPr>
          <t xml:space="preserve">
da collegare alla casella della sezione</t>
        </r>
      </text>
    </comment>
    <comment ref="Q100" authorId="2" shapeId="0" xr:uid="{4A9FB48A-28F2-4926-9F59-1A348F6B2464}">
      <text>
        <r>
          <rPr>
            <b/>
            <sz val="8"/>
            <color indexed="81"/>
            <rFont val="Tahoma"/>
            <family val="2"/>
          </rPr>
          <t>matteo:</t>
        </r>
        <r>
          <rPr>
            <sz val="8"/>
            <color indexed="81"/>
            <rFont val="Tahoma"/>
            <family val="2"/>
          </rPr>
          <t xml:space="preserve">
inclinazione trasversale della sezione</t>
        </r>
      </text>
    </comment>
  </commentList>
</comments>
</file>

<file path=xl/sharedStrings.xml><?xml version="1.0" encoding="utf-8"?>
<sst xmlns="http://schemas.openxmlformats.org/spreadsheetml/2006/main" count="789" uniqueCount="455">
  <si>
    <t>Tipologia:</t>
  </si>
  <si>
    <t xml:space="preserve">trave </t>
  </si>
  <si>
    <t>Elemento:</t>
  </si>
  <si>
    <t>…</t>
  </si>
  <si>
    <t>CELLE A DISPOSIZIONE DELL'UTENTE PER COMMENTI E CALCOLI</t>
  </si>
  <si>
    <t>Vincoli:</t>
  </si>
  <si>
    <t>appoggio - appoggio</t>
  </si>
  <si>
    <t>Posizione:</t>
  </si>
  <si>
    <t>Norma:</t>
  </si>
  <si>
    <t>NTC 17/01/2018</t>
  </si>
  <si>
    <t>+ EC5-1-1:2014</t>
  </si>
  <si>
    <t>Note:</t>
  </si>
  <si>
    <t>Proprietà del legno  secondo le normative:</t>
  </si>
  <si>
    <t>Tipo materiale:</t>
  </si>
  <si>
    <t>GL24h</t>
  </si>
  <si>
    <t>Proprietà del legno secondo la normativa europea UNI EN 14080 (lamellare), EN338 (massiccio), UNI EN 300 (OSB).</t>
  </si>
  <si>
    <t>Materiale legno in</t>
  </si>
  <si>
    <t>assenza controllo qualità</t>
  </si>
  <si>
    <t>controllare valori resistenziali (se tenere 0 o 90)</t>
  </si>
  <si>
    <t>b/h</t>
  </si>
  <si>
    <t>Sezione</t>
  </si>
  <si>
    <t>Valori caratteristici di rigidezza</t>
  </si>
  <si>
    <t>b =</t>
  </si>
  <si>
    <t>mm</t>
  </si>
  <si>
    <t>mod. elast. parall. medio</t>
  </si>
  <si>
    <r>
      <t>E</t>
    </r>
    <r>
      <rPr>
        <vertAlign val="subscript"/>
        <sz val="9"/>
        <rFont val="Arial"/>
        <family val="2"/>
      </rPr>
      <t>0,mean</t>
    </r>
  </si>
  <si>
    <t>MPa</t>
  </si>
  <si>
    <t>LEGNO MASSICCIO</t>
  </si>
  <si>
    <t>LEGNO LAMELLARE</t>
  </si>
  <si>
    <t>PANNELLO OSB</t>
  </si>
  <si>
    <t>UTENTE</t>
  </si>
  <si>
    <t>h =</t>
  </si>
  <si>
    <t>mod. elast. parall. caratt.</t>
  </si>
  <si>
    <r>
      <t>E</t>
    </r>
    <r>
      <rPr>
        <vertAlign val="subscript"/>
        <sz val="9"/>
        <rFont val="Arial"/>
        <family val="2"/>
      </rPr>
      <t>0,05</t>
    </r>
  </si>
  <si>
    <t>C20</t>
  </si>
  <si>
    <t>C22</t>
  </si>
  <si>
    <t>C24</t>
  </si>
  <si>
    <t>C27</t>
  </si>
  <si>
    <t>C30</t>
  </si>
  <si>
    <t>D18</t>
  </si>
  <si>
    <t>D24</t>
  </si>
  <si>
    <t>D27</t>
  </si>
  <si>
    <t>D30</t>
  </si>
  <si>
    <t>GL20h</t>
  </si>
  <si>
    <t>GL22h</t>
  </si>
  <si>
    <t>GL26h</t>
  </si>
  <si>
    <t>GL28h</t>
  </si>
  <si>
    <t>GL30h</t>
  </si>
  <si>
    <t>GL32h</t>
  </si>
  <si>
    <t>GL20c</t>
  </si>
  <si>
    <t>GL22c</t>
  </si>
  <si>
    <t>GL24c</t>
  </si>
  <si>
    <t>GL26c</t>
  </si>
  <si>
    <t>GL28c</t>
  </si>
  <si>
    <t>GL30c</t>
  </si>
  <si>
    <t>GL32c</t>
  </si>
  <si>
    <t>OSB 3 (sp. &gt;18-25mm)</t>
  </si>
  <si>
    <t>OSB 4 (sp.&gt;18-25)</t>
  </si>
  <si>
    <t>QQQ</t>
  </si>
  <si>
    <r>
      <t>l</t>
    </r>
    <r>
      <rPr>
        <b/>
        <sz val="9"/>
        <rFont val="Arial"/>
        <family val="2"/>
      </rPr>
      <t xml:space="preserve"> =</t>
    </r>
  </si>
  <si>
    <t>m</t>
  </si>
  <si>
    <t>mod. elast. ortog. medio</t>
  </si>
  <si>
    <r>
      <t>E</t>
    </r>
    <r>
      <rPr>
        <vertAlign val="subscript"/>
        <sz val="9"/>
        <rFont val="Arial"/>
        <family val="2"/>
      </rPr>
      <t>90,mean</t>
    </r>
  </si>
  <si>
    <t>Moduli di elasticità</t>
  </si>
  <si>
    <t>Peso proprio del legno</t>
  </si>
  <si>
    <r>
      <t>kN/m</t>
    </r>
    <r>
      <rPr>
        <b/>
        <vertAlign val="superscript"/>
        <sz val="9"/>
        <rFont val="Arial"/>
        <family val="2"/>
      </rPr>
      <t>3</t>
    </r>
  </si>
  <si>
    <t>modulo di taglio medio</t>
  </si>
  <si>
    <r>
      <t>G</t>
    </r>
    <r>
      <rPr>
        <vertAlign val="subscript"/>
        <sz val="9"/>
        <rFont val="Arial"/>
        <family val="2"/>
      </rPr>
      <t>mean</t>
    </r>
  </si>
  <si>
    <r>
      <t>q</t>
    </r>
    <r>
      <rPr>
        <b/>
        <vertAlign val="subscript"/>
        <sz val="9"/>
        <rFont val="Arial"/>
        <family val="2"/>
      </rPr>
      <t>G1k</t>
    </r>
    <r>
      <rPr>
        <b/>
        <sz val="9"/>
        <rFont val="Arial"/>
        <family val="2"/>
      </rPr>
      <t xml:space="preserve"> = (peso pr. trave) =</t>
    </r>
  </si>
  <si>
    <t>kN/m</t>
  </si>
  <si>
    <t>Valori caratteristici di resistenza</t>
  </si>
  <si>
    <t>Carichi agenti per metro quadro</t>
  </si>
  <si>
    <t>flessione</t>
  </si>
  <si>
    <r>
      <t>f</t>
    </r>
    <r>
      <rPr>
        <vertAlign val="subscript"/>
        <sz val="9"/>
        <rFont val="Arial"/>
        <family val="2"/>
      </rPr>
      <t>m,k</t>
    </r>
  </si>
  <si>
    <t>passo (o tratto di carico) =</t>
  </si>
  <si>
    <t>traz. parallela alle fibre</t>
  </si>
  <si>
    <r>
      <t>f</t>
    </r>
    <r>
      <rPr>
        <vertAlign val="subscript"/>
        <sz val="9"/>
        <rFont val="Arial"/>
        <family val="2"/>
      </rPr>
      <t>t,0,k</t>
    </r>
  </si>
  <si>
    <r>
      <t>q</t>
    </r>
    <r>
      <rPr>
        <b/>
        <i/>
        <vertAlign val="subscript"/>
        <sz val="9"/>
        <rFont val="Arial"/>
        <family val="2"/>
      </rPr>
      <t>G1k</t>
    </r>
    <r>
      <rPr>
        <b/>
        <sz val="9"/>
        <rFont val="Arial"/>
        <family val="2"/>
      </rPr>
      <t xml:space="preserve"> = (permanente) =</t>
    </r>
  </si>
  <si>
    <r>
      <t>kN/m</t>
    </r>
    <r>
      <rPr>
        <b/>
        <vertAlign val="superscript"/>
        <sz val="9"/>
        <rFont val="Arial"/>
        <family val="2"/>
      </rPr>
      <t>2</t>
    </r>
  </si>
  <si>
    <t>traz. ortog. alle fibre</t>
  </si>
  <si>
    <r>
      <t>f</t>
    </r>
    <r>
      <rPr>
        <vertAlign val="subscript"/>
        <sz val="9"/>
        <rFont val="Arial"/>
        <family val="2"/>
      </rPr>
      <t>t,90,k</t>
    </r>
  </si>
  <si>
    <r>
      <t>q</t>
    </r>
    <r>
      <rPr>
        <b/>
        <i/>
        <vertAlign val="subscript"/>
        <sz val="9"/>
        <rFont val="Arial"/>
        <family val="2"/>
      </rPr>
      <t>G2k</t>
    </r>
    <r>
      <rPr>
        <b/>
        <sz val="9"/>
        <rFont val="Arial"/>
        <family val="2"/>
      </rPr>
      <t xml:space="preserve"> = (perm. non str) =</t>
    </r>
  </si>
  <si>
    <t>compr. parallela alle fibre</t>
  </si>
  <si>
    <r>
      <t>f</t>
    </r>
    <r>
      <rPr>
        <vertAlign val="subscript"/>
        <sz val="9"/>
        <rFont val="Arial"/>
        <family val="2"/>
      </rPr>
      <t>c,0,k</t>
    </r>
  </si>
  <si>
    <r>
      <t>q</t>
    </r>
    <r>
      <rPr>
        <b/>
        <i/>
        <vertAlign val="subscript"/>
        <sz val="9"/>
        <rFont val="Arial"/>
        <family val="2"/>
      </rPr>
      <t>Vk</t>
    </r>
    <r>
      <rPr>
        <b/>
        <sz val="9"/>
        <rFont val="Arial"/>
        <family val="2"/>
      </rPr>
      <t xml:space="preserve"> = (variabile) =</t>
    </r>
  </si>
  <si>
    <t>compr. ortog. alle fibre</t>
  </si>
  <si>
    <r>
      <t>f</t>
    </r>
    <r>
      <rPr>
        <vertAlign val="subscript"/>
        <sz val="9"/>
        <rFont val="Arial"/>
        <family val="2"/>
      </rPr>
      <t>c,90,k</t>
    </r>
  </si>
  <si>
    <t>Carichi puntuali in mezzeria</t>
  </si>
  <si>
    <t>taglio e torsione</t>
  </si>
  <si>
    <r>
      <t>f</t>
    </r>
    <r>
      <rPr>
        <vertAlign val="subscript"/>
        <sz val="9"/>
        <rFont val="Arial"/>
        <family val="2"/>
      </rPr>
      <t>v,k</t>
    </r>
  </si>
  <si>
    <t xml:space="preserve">           </t>
  </si>
  <si>
    <r>
      <t xml:space="preserve"> P</t>
    </r>
    <r>
      <rPr>
        <b/>
        <vertAlign val="subscript"/>
        <sz val="9"/>
        <rFont val="Arial"/>
        <family val="2"/>
      </rPr>
      <t xml:space="preserve">Gk </t>
    </r>
    <r>
      <rPr>
        <b/>
        <sz val="9"/>
        <rFont val="Arial"/>
        <family val="2"/>
      </rPr>
      <t>= (permanente) =</t>
    </r>
  </si>
  <si>
    <t>kN</t>
  </si>
  <si>
    <t>Lunghezza efficace (sband. piano deb.1-2)</t>
  </si>
  <si>
    <r>
      <t xml:space="preserve"> P</t>
    </r>
    <r>
      <rPr>
        <b/>
        <vertAlign val="subscript"/>
        <sz val="9"/>
        <rFont val="Arial"/>
        <family val="2"/>
      </rPr>
      <t xml:space="preserve">Gk </t>
    </r>
    <r>
      <rPr>
        <b/>
        <sz val="9"/>
        <rFont val="Arial"/>
        <family val="2"/>
      </rPr>
      <t>= (perm. non str) =</t>
    </r>
  </si>
  <si>
    <r>
      <t>l</t>
    </r>
    <r>
      <rPr>
        <vertAlign val="subscript"/>
        <sz val="9"/>
        <rFont val="Arial"/>
        <family val="2"/>
      </rPr>
      <t>3,eff</t>
    </r>
    <r>
      <rPr>
        <sz val="9"/>
        <rFont val="Arial"/>
        <family val="2"/>
      </rPr>
      <t xml:space="preserve"> =</t>
    </r>
  </si>
  <si>
    <r>
      <t xml:space="preserve"> P</t>
    </r>
    <r>
      <rPr>
        <b/>
        <vertAlign val="subscript"/>
        <sz val="9"/>
        <rFont val="Arial"/>
        <family val="2"/>
      </rPr>
      <t xml:space="preserve">Vk </t>
    </r>
    <r>
      <rPr>
        <b/>
        <sz val="9"/>
        <rFont val="Arial"/>
        <family val="2"/>
      </rPr>
      <t>= (variabile) =</t>
    </r>
  </si>
  <si>
    <r>
      <t>perm:</t>
    </r>
    <r>
      <rPr>
        <sz val="9"/>
        <rFont val="Arial"/>
        <family val="2"/>
      </rPr>
      <t xml:space="preserve">  q</t>
    </r>
    <r>
      <rPr>
        <vertAlign val="subscript"/>
        <sz val="9"/>
        <rFont val="Arial"/>
        <family val="2"/>
      </rPr>
      <t>G1k</t>
    </r>
    <r>
      <rPr>
        <sz val="9"/>
        <rFont val="Arial"/>
        <family val="2"/>
      </rPr>
      <t xml:space="preserve"> = q</t>
    </r>
    <r>
      <rPr>
        <i/>
        <vertAlign val="subscript"/>
        <sz val="9"/>
        <rFont val="Arial"/>
        <family val="2"/>
      </rPr>
      <t>G1k</t>
    </r>
    <r>
      <rPr>
        <vertAlign val="subscript"/>
        <sz val="9"/>
        <rFont val="Arial"/>
        <family val="2"/>
      </rPr>
      <t>*</t>
    </r>
    <r>
      <rPr>
        <sz val="9"/>
        <rFont val="Arial"/>
        <family val="2"/>
      </rPr>
      <t>passo + q</t>
    </r>
    <r>
      <rPr>
        <vertAlign val="subscript"/>
        <sz val="9"/>
        <rFont val="Arial"/>
        <family val="2"/>
      </rPr>
      <t>PPk</t>
    </r>
    <r>
      <rPr>
        <sz val="9"/>
        <rFont val="Arial"/>
        <family val="2"/>
      </rPr>
      <t xml:space="preserve"> =</t>
    </r>
  </si>
  <si>
    <t>taglio</t>
  </si>
  <si>
    <t>indice</t>
  </si>
  <si>
    <t>Classe di servizio:</t>
  </si>
  <si>
    <r>
      <t>perm non str:</t>
    </r>
    <r>
      <rPr>
        <sz val="9"/>
        <rFont val="Arial"/>
        <family val="2"/>
      </rPr>
      <t xml:space="preserve">  q</t>
    </r>
    <r>
      <rPr>
        <vertAlign val="subscript"/>
        <sz val="9"/>
        <rFont val="Arial"/>
        <family val="2"/>
      </rPr>
      <t>G2k</t>
    </r>
    <r>
      <rPr>
        <sz val="9"/>
        <rFont val="Arial"/>
        <family val="2"/>
      </rPr>
      <t xml:space="preserve"> = q</t>
    </r>
    <r>
      <rPr>
        <i/>
        <vertAlign val="subscript"/>
        <sz val="9"/>
        <rFont val="Arial"/>
        <family val="2"/>
      </rPr>
      <t>G2k</t>
    </r>
    <r>
      <rPr>
        <vertAlign val="subscript"/>
        <sz val="9"/>
        <rFont val="Arial"/>
        <family val="2"/>
      </rPr>
      <t>*</t>
    </r>
    <r>
      <rPr>
        <sz val="9"/>
        <rFont val="Arial"/>
        <family val="2"/>
      </rPr>
      <t>passo =</t>
    </r>
  </si>
  <si>
    <t>folla/neve</t>
  </si>
  <si>
    <t>Carichi accidentali:</t>
  </si>
  <si>
    <t>Neve (&gt;1000m)</t>
  </si>
  <si>
    <r>
      <t>var:</t>
    </r>
    <r>
      <rPr>
        <sz val="9"/>
        <rFont val="Arial"/>
        <family val="2"/>
      </rPr>
      <t xml:space="preserve">     q</t>
    </r>
    <r>
      <rPr>
        <vertAlign val="subscript"/>
        <sz val="9"/>
        <rFont val="Arial"/>
        <family val="2"/>
      </rPr>
      <t>Vk</t>
    </r>
    <r>
      <rPr>
        <sz val="9"/>
        <rFont val="Arial"/>
        <family val="2"/>
      </rPr>
      <t xml:space="preserve"> = q</t>
    </r>
    <r>
      <rPr>
        <i/>
        <vertAlign val="subscript"/>
        <sz val="9"/>
        <rFont val="Arial"/>
        <family val="2"/>
      </rPr>
      <t>Vk</t>
    </r>
    <r>
      <rPr>
        <vertAlign val="subscript"/>
        <sz val="9"/>
        <rFont val="Arial"/>
        <family val="2"/>
      </rPr>
      <t>*</t>
    </r>
    <r>
      <rPr>
        <sz val="9"/>
        <rFont val="Arial"/>
        <family val="2"/>
      </rPr>
      <t>passo =</t>
    </r>
  </si>
  <si>
    <r>
      <t>g</t>
    </r>
    <r>
      <rPr>
        <b/>
        <vertAlign val="subscript"/>
        <sz val="9"/>
        <rFont val="Arial"/>
        <family val="2"/>
      </rPr>
      <t>M,legno</t>
    </r>
  </si>
  <si>
    <t>(senza controllo qualità)</t>
  </si>
  <si>
    <t>tipo app:</t>
  </si>
  <si>
    <t>estremità</t>
  </si>
  <si>
    <r>
      <t>l</t>
    </r>
    <r>
      <rPr>
        <vertAlign val="subscript"/>
        <sz val="10"/>
        <rFont val="Arial"/>
        <family val="2"/>
      </rPr>
      <t>,app</t>
    </r>
  </si>
  <si>
    <t>Controfreccia:</t>
  </si>
  <si>
    <r>
      <t>u</t>
    </r>
    <r>
      <rPr>
        <vertAlign val="subscript"/>
        <sz val="9"/>
        <rFont val="Arial"/>
        <family val="2"/>
      </rPr>
      <t>0</t>
    </r>
    <r>
      <rPr>
        <sz val="9"/>
        <rFont val="Arial"/>
        <family val="2"/>
      </rPr>
      <t xml:space="preserve"> =</t>
    </r>
  </si>
  <si>
    <t>Materiale</t>
  </si>
  <si>
    <t>controllo qualità</t>
  </si>
  <si>
    <r>
      <t>b</t>
    </r>
    <r>
      <rPr>
        <b/>
        <vertAlign val="subscript"/>
        <sz val="9"/>
        <rFont val="Arial"/>
        <family val="2"/>
      </rPr>
      <t xml:space="preserve">n </t>
    </r>
  </si>
  <si>
    <r>
      <t>k</t>
    </r>
    <r>
      <rPr>
        <b/>
        <vertAlign val="subscript"/>
        <sz val="9"/>
        <rFont val="Arial"/>
        <family val="2"/>
      </rPr>
      <t>fi</t>
    </r>
  </si>
  <si>
    <r>
      <t>k</t>
    </r>
    <r>
      <rPr>
        <b/>
        <vertAlign val="subscript"/>
        <sz val="9"/>
        <rFont val="Arial"/>
        <family val="2"/>
      </rPr>
      <t>cr</t>
    </r>
  </si>
  <si>
    <t>(controllo qualità)</t>
  </si>
  <si>
    <t>appoggio:</t>
  </si>
  <si>
    <t>discont.</t>
  </si>
  <si>
    <r>
      <t>b</t>
    </r>
    <r>
      <rPr>
        <vertAlign val="subscript"/>
        <sz val="10"/>
        <rFont val="Arial"/>
        <family val="2"/>
      </rPr>
      <t>,app</t>
    </r>
  </si>
  <si>
    <t>Limiti di freccia:</t>
  </si>
  <si>
    <r>
      <t>u</t>
    </r>
    <r>
      <rPr>
        <vertAlign val="subscript"/>
        <sz val="9"/>
        <rFont val="Arial"/>
        <family val="2"/>
      </rPr>
      <t xml:space="preserve">2,ist  </t>
    </r>
    <r>
      <rPr>
        <sz val="9"/>
        <rFont val="Symbol"/>
        <family val="1"/>
        <charset val="2"/>
      </rPr>
      <t xml:space="preserve">£  </t>
    </r>
    <r>
      <rPr>
        <sz val="9"/>
        <rFont val="Italic"/>
      </rPr>
      <t>l</t>
    </r>
    <r>
      <rPr>
        <vertAlign val="subscript"/>
        <sz val="9"/>
        <rFont val="Arial"/>
        <family val="2"/>
      </rPr>
      <t xml:space="preserve"> </t>
    </r>
    <r>
      <rPr>
        <sz val="9"/>
        <rFont val="Arial"/>
        <family val="2"/>
      </rPr>
      <t xml:space="preserve"> /</t>
    </r>
  </si>
  <si>
    <t>C</t>
  </si>
  <si>
    <r>
      <t>b</t>
    </r>
    <r>
      <rPr>
        <b/>
        <vertAlign val="subscript"/>
        <sz val="9"/>
        <rFont val="Arial"/>
        <family val="2"/>
      </rPr>
      <t xml:space="preserve">0 </t>
    </r>
  </si>
  <si>
    <t>dist. bordo a:</t>
  </si>
  <si>
    <r>
      <t>u</t>
    </r>
    <r>
      <rPr>
        <vertAlign val="subscript"/>
        <sz val="9"/>
        <rFont val="Arial"/>
        <family val="2"/>
      </rPr>
      <t xml:space="preserve">net,fin  </t>
    </r>
    <r>
      <rPr>
        <sz val="9"/>
        <rFont val="Symbol"/>
        <family val="1"/>
        <charset val="2"/>
      </rPr>
      <t xml:space="preserve">£  </t>
    </r>
    <r>
      <rPr>
        <sz val="9"/>
        <rFont val="Italic"/>
      </rPr>
      <t>l</t>
    </r>
    <r>
      <rPr>
        <sz val="9"/>
        <rFont val="Arial"/>
        <family val="2"/>
      </rPr>
      <t xml:space="preserve">  /</t>
    </r>
  </si>
  <si>
    <t>D</t>
  </si>
  <si>
    <t>Coefficienti</t>
  </si>
  <si>
    <t>Resistenza al fuoco:</t>
  </si>
  <si>
    <r>
      <t>u</t>
    </r>
    <r>
      <rPr>
        <vertAlign val="subscript"/>
        <sz val="9"/>
        <rFont val="Arial"/>
        <family val="2"/>
      </rPr>
      <t xml:space="preserve">fin  </t>
    </r>
    <r>
      <rPr>
        <sz val="9"/>
        <rFont val="Symbol"/>
        <family val="1"/>
        <charset val="2"/>
      </rPr>
      <t xml:space="preserve">£  </t>
    </r>
    <r>
      <rPr>
        <sz val="9"/>
        <rFont val="Italic"/>
      </rPr>
      <t>l</t>
    </r>
    <r>
      <rPr>
        <sz val="9"/>
        <rFont val="Arial"/>
        <family val="2"/>
      </rPr>
      <t xml:space="preserve">  /</t>
    </r>
  </si>
  <si>
    <t>G</t>
  </si>
  <si>
    <t>(riduttivo per taglio)</t>
  </si>
  <si>
    <r>
      <t>g</t>
    </r>
    <r>
      <rPr>
        <vertAlign val="subscript"/>
        <sz val="10"/>
        <rFont val="Arial"/>
        <family val="2"/>
      </rPr>
      <t>g1</t>
    </r>
    <r>
      <rPr>
        <sz val="10"/>
        <rFont val="Arial"/>
        <family val="2"/>
      </rPr>
      <t xml:space="preserve"> =</t>
    </r>
  </si>
  <si>
    <t>Valori statici</t>
  </si>
  <si>
    <t>PANNELLO</t>
  </si>
  <si>
    <t>O</t>
  </si>
  <si>
    <r>
      <t>Ψ</t>
    </r>
    <r>
      <rPr>
        <b/>
        <vertAlign val="subscript"/>
        <sz val="9"/>
        <rFont val="Arial"/>
        <family val="2"/>
      </rPr>
      <t>2i</t>
    </r>
  </si>
  <si>
    <t>(valore per categoria I,K. L'utente può sceglierlo seguento le indicazioni in Tab. 2.5.1 NTC2018)</t>
  </si>
  <si>
    <r>
      <t>g</t>
    </r>
    <r>
      <rPr>
        <vertAlign val="subscript"/>
        <sz val="10"/>
        <rFont val="Arial"/>
        <family val="2"/>
      </rPr>
      <t>g2</t>
    </r>
    <r>
      <rPr>
        <sz val="10"/>
        <rFont val="Arial"/>
        <family val="2"/>
      </rPr>
      <t xml:space="preserve"> =</t>
    </r>
  </si>
  <si>
    <r>
      <t>k</t>
    </r>
    <r>
      <rPr>
        <vertAlign val="subscript"/>
        <sz val="10"/>
        <rFont val="Arial"/>
        <family val="2"/>
      </rPr>
      <t>h</t>
    </r>
    <r>
      <rPr>
        <sz val="10"/>
        <rFont val="Arial"/>
        <family val="2"/>
      </rPr>
      <t xml:space="preserve"> =</t>
    </r>
  </si>
  <si>
    <r>
      <t>g</t>
    </r>
    <r>
      <rPr>
        <vertAlign val="subscript"/>
        <sz val="10"/>
        <rFont val="Arial"/>
        <family val="2"/>
      </rPr>
      <t>q</t>
    </r>
    <r>
      <rPr>
        <sz val="10"/>
        <rFont val="Arial"/>
        <family val="2"/>
      </rPr>
      <t xml:space="preserve"> =</t>
    </r>
  </si>
  <si>
    <r>
      <t>k</t>
    </r>
    <r>
      <rPr>
        <vertAlign val="subscript"/>
        <sz val="10"/>
        <rFont val="Arial"/>
        <family val="2"/>
      </rPr>
      <t>cr</t>
    </r>
    <r>
      <rPr>
        <sz val="10"/>
        <rFont val="Arial"/>
        <family val="2"/>
      </rPr>
      <t xml:space="preserve"> =</t>
    </r>
  </si>
  <si>
    <t>comb. 1)</t>
  </si>
  <si>
    <r>
      <t>b</t>
    </r>
    <r>
      <rPr>
        <vertAlign val="subscript"/>
        <sz val="10"/>
        <rFont val="Arial"/>
        <family val="2"/>
      </rPr>
      <t>ef</t>
    </r>
    <r>
      <rPr>
        <sz val="10"/>
        <rFont val="Arial"/>
        <family val="2"/>
      </rPr>
      <t xml:space="preserve"> = </t>
    </r>
  </si>
  <si>
    <r>
      <t>M</t>
    </r>
    <r>
      <rPr>
        <vertAlign val="subscript"/>
        <sz val="8"/>
        <rFont val="Arial"/>
        <family val="2"/>
      </rPr>
      <t xml:space="preserve">d </t>
    </r>
    <r>
      <rPr>
        <sz val="8"/>
        <rFont val="Arial"/>
        <family val="2"/>
      </rPr>
      <t>=</t>
    </r>
  </si>
  <si>
    <r>
      <t xml:space="preserve">A = b </t>
    </r>
    <r>
      <rPr>
        <vertAlign val="subscript"/>
        <sz val="9"/>
        <rFont val="Arial"/>
        <family val="2"/>
      </rPr>
      <t xml:space="preserve">* </t>
    </r>
    <r>
      <rPr>
        <sz val="9"/>
        <rFont val="Arial"/>
        <family val="2"/>
      </rPr>
      <t>h =</t>
    </r>
  </si>
  <si>
    <r>
      <t>mm</t>
    </r>
    <r>
      <rPr>
        <vertAlign val="superscript"/>
        <sz val="9"/>
        <rFont val="Arial"/>
        <family val="2"/>
      </rPr>
      <t>2</t>
    </r>
  </si>
  <si>
    <r>
      <t>q</t>
    </r>
    <r>
      <rPr>
        <vertAlign val="subscript"/>
        <sz val="8"/>
        <rFont val="Arial"/>
        <family val="2"/>
      </rPr>
      <t xml:space="preserve">d </t>
    </r>
    <r>
      <rPr>
        <sz val="8"/>
        <rFont val="Arial"/>
        <family val="2"/>
      </rPr>
      <t>=</t>
    </r>
  </si>
  <si>
    <r>
      <t>J</t>
    </r>
    <r>
      <rPr>
        <vertAlign val="subscript"/>
        <sz val="9"/>
        <rFont val="Arial"/>
        <family val="2"/>
      </rPr>
      <t xml:space="preserve">22 </t>
    </r>
    <r>
      <rPr>
        <sz val="9"/>
        <rFont val="Arial"/>
        <family val="2"/>
      </rPr>
      <t>= bh</t>
    </r>
    <r>
      <rPr>
        <vertAlign val="superscript"/>
        <sz val="9"/>
        <rFont val="Arial"/>
        <family val="2"/>
      </rPr>
      <t>3</t>
    </r>
    <r>
      <rPr>
        <sz val="9"/>
        <rFont val="Arial"/>
        <family val="2"/>
      </rPr>
      <t>/12 =</t>
    </r>
  </si>
  <si>
    <r>
      <t>mm</t>
    </r>
    <r>
      <rPr>
        <vertAlign val="superscript"/>
        <sz val="9"/>
        <rFont val="Arial"/>
        <family val="2"/>
      </rPr>
      <t>4</t>
    </r>
  </si>
  <si>
    <r>
      <t>P</t>
    </r>
    <r>
      <rPr>
        <vertAlign val="subscript"/>
        <sz val="8"/>
        <rFont val="Arial"/>
        <family val="2"/>
      </rPr>
      <t xml:space="preserve">d </t>
    </r>
    <r>
      <rPr>
        <sz val="8"/>
        <rFont val="Arial"/>
        <family val="2"/>
      </rPr>
      <t>=</t>
    </r>
  </si>
  <si>
    <r>
      <t>J</t>
    </r>
    <r>
      <rPr>
        <vertAlign val="subscript"/>
        <sz val="9"/>
        <rFont val="Arial"/>
        <family val="2"/>
      </rPr>
      <t xml:space="preserve">33 </t>
    </r>
    <r>
      <rPr>
        <sz val="9"/>
        <rFont val="Arial"/>
        <family val="2"/>
      </rPr>
      <t>= hb</t>
    </r>
    <r>
      <rPr>
        <vertAlign val="superscript"/>
        <sz val="9"/>
        <rFont val="Arial"/>
        <family val="2"/>
      </rPr>
      <t>3</t>
    </r>
    <r>
      <rPr>
        <sz val="9"/>
        <rFont val="Arial"/>
        <family val="2"/>
      </rPr>
      <t>/12 =</t>
    </r>
  </si>
  <si>
    <r>
      <t>k</t>
    </r>
    <r>
      <rPr>
        <b/>
        <vertAlign val="subscript"/>
        <sz val="9"/>
        <rFont val="Arial"/>
        <family val="2"/>
      </rPr>
      <t>mod</t>
    </r>
    <r>
      <rPr>
        <b/>
        <sz val="9"/>
        <rFont val="Arial"/>
        <family val="2"/>
      </rPr>
      <t xml:space="preserve"> massiccio e lamellare</t>
    </r>
  </si>
  <si>
    <r>
      <t>k</t>
    </r>
    <r>
      <rPr>
        <b/>
        <vertAlign val="subscript"/>
        <sz val="9"/>
        <rFont val="Arial"/>
        <family val="2"/>
      </rPr>
      <t>mod</t>
    </r>
    <r>
      <rPr>
        <b/>
        <sz val="9"/>
        <rFont val="Arial"/>
        <family val="2"/>
      </rPr>
      <t xml:space="preserve"> OSB3</t>
    </r>
  </si>
  <si>
    <r>
      <t>k</t>
    </r>
    <r>
      <rPr>
        <b/>
        <vertAlign val="subscript"/>
        <sz val="9"/>
        <rFont val="Arial"/>
        <family val="2"/>
      </rPr>
      <t>mod</t>
    </r>
    <r>
      <rPr>
        <b/>
        <sz val="9"/>
        <rFont val="Arial"/>
        <family val="2"/>
      </rPr>
      <t xml:space="preserve"> OSB4</t>
    </r>
  </si>
  <si>
    <r>
      <t>k</t>
    </r>
    <r>
      <rPr>
        <vertAlign val="subscript"/>
        <sz val="8"/>
        <rFont val="Arial"/>
        <family val="2"/>
      </rPr>
      <t>mod</t>
    </r>
    <r>
      <rPr>
        <sz val="8"/>
        <rFont val="Arial"/>
        <family val="2"/>
      </rPr>
      <t xml:space="preserve"> =</t>
    </r>
  </si>
  <si>
    <r>
      <t>W</t>
    </r>
    <r>
      <rPr>
        <vertAlign val="subscript"/>
        <sz val="9"/>
        <rFont val="Arial"/>
        <family val="2"/>
      </rPr>
      <t xml:space="preserve">22 </t>
    </r>
    <r>
      <rPr>
        <sz val="9"/>
        <rFont val="Arial"/>
        <family val="2"/>
      </rPr>
      <t>= bh</t>
    </r>
    <r>
      <rPr>
        <vertAlign val="superscript"/>
        <sz val="9"/>
        <rFont val="Arial"/>
        <family val="2"/>
      </rPr>
      <t>2</t>
    </r>
    <r>
      <rPr>
        <sz val="9"/>
        <rFont val="Arial"/>
        <family val="2"/>
      </rPr>
      <t xml:space="preserve">/6 = </t>
    </r>
  </si>
  <si>
    <r>
      <t>mm</t>
    </r>
    <r>
      <rPr>
        <vertAlign val="superscript"/>
        <sz val="9"/>
        <rFont val="Arial"/>
        <family val="2"/>
      </rPr>
      <t>3</t>
    </r>
  </si>
  <si>
    <t>Durata del carico</t>
  </si>
  <si>
    <t>Classe di servizio</t>
  </si>
  <si>
    <t>Cl. Serv.</t>
  </si>
  <si>
    <t>Classe Servizio</t>
  </si>
  <si>
    <r>
      <t>M</t>
    </r>
    <r>
      <rPr>
        <vertAlign val="subscript"/>
        <sz val="8"/>
        <rFont val="Arial"/>
        <family val="2"/>
      </rPr>
      <t xml:space="preserve">d </t>
    </r>
    <r>
      <rPr>
        <sz val="8"/>
        <rFont val="Arial"/>
        <family val="2"/>
      </rPr>
      <t>/ K</t>
    </r>
    <r>
      <rPr>
        <vertAlign val="subscript"/>
        <sz val="8"/>
        <rFont val="Arial"/>
        <family val="2"/>
      </rPr>
      <t>mod</t>
    </r>
    <r>
      <rPr>
        <sz val="8"/>
        <rFont val="Arial"/>
        <family val="2"/>
      </rPr>
      <t xml:space="preserve"> =</t>
    </r>
  </si>
  <si>
    <r>
      <t>W</t>
    </r>
    <r>
      <rPr>
        <vertAlign val="subscript"/>
        <sz val="9"/>
        <rFont val="Arial"/>
        <family val="2"/>
      </rPr>
      <t xml:space="preserve">33 </t>
    </r>
    <r>
      <rPr>
        <sz val="9"/>
        <rFont val="Arial"/>
        <family val="2"/>
      </rPr>
      <t>= hb</t>
    </r>
    <r>
      <rPr>
        <vertAlign val="superscript"/>
        <sz val="9"/>
        <rFont val="Arial"/>
        <family val="2"/>
      </rPr>
      <t>2</t>
    </r>
    <r>
      <rPr>
        <sz val="9"/>
        <rFont val="Arial"/>
        <family val="2"/>
      </rPr>
      <t>/6 =</t>
    </r>
  </si>
  <si>
    <t>Verifiche di resistenza</t>
  </si>
  <si>
    <t>Verifiche di deformazione</t>
  </si>
  <si>
    <t>Esito:</t>
  </si>
  <si>
    <t>Permanente</t>
  </si>
  <si>
    <t>tipo appoggio</t>
  </si>
  <si>
    <t>comb. 2)</t>
  </si>
  <si>
    <r>
      <t xml:space="preserve">se </t>
    </r>
    <r>
      <rPr>
        <sz val="9"/>
        <rFont val="Arial"/>
        <family val="2"/>
      </rPr>
      <t>≤</t>
    </r>
    <r>
      <rPr>
        <sz val="9"/>
        <rFont val="Arial"/>
        <family val="2"/>
      </rPr>
      <t xml:space="preserve"> 1 → ok</t>
    </r>
  </si>
  <si>
    <t>Lunga durata</t>
  </si>
  <si>
    <t>cont.</t>
  </si>
  <si>
    <t>Flessione</t>
  </si>
  <si>
    <r>
      <t xml:space="preserve">s </t>
    </r>
    <r>
      <rPr>
        <vertAlign val="subscript"/>
        <sz val="9"/>
        <rFont val="Arial"/>
        <family val="2"/>
      </rPr>
      <t>m,2,d</t>
    </r>
    <r>
      <rPr>
        <sz val="9"/>
        <rFont val="Arial"/>
        <family val="2"/>
      </rPr>
      <t xml:space="preserve"> / f</t>
    </r>
    <r>
      <rPr>
        <vertAlign val="subscript"/>
        <sz val="9"/>
        <rFont val="Arial"/>
        <family val="2"/>
      </rPr>
      <t>m,d</t>
    </r>
    <r>
      <rPr>
        <sz val="9"/>
        <rFont val="Arial"/>
        <family val="2"/>
      </rPr>
      <t xml:space="preserve"> =</t>
    </r>
  </si>
  <si>
    <r>
      <t xml:space="preserve">Freccia istantanea </t>
    </r>
    <r>
      <rPr>
        <sz val="9"/>
        <rFont val="Arial"/>
        <family val="2"/>
      </rPr>
      <t xml:space="preserve"> u</t>
    </r>
    <r>
      <rPr>
        <vertAlign val="subscript"/>
        <sz val="9"/>
        <rFont val="Arial"/>
        <family val="2"/>
      </rPr>
      <t xml:space="preserve">2,ist  </t>
    </r>
    <r>
      <rPr>
        <sz val="9"/>
        <rFont val="Arial"/>
        <family val="2"/>
      </rPr>
      <t>/ u</t>
    </r>
    <r>
      <rPr>
        <vertAlign val="subscript"/>
        <sz val="9"/>
        <rFont val="Arial"/>
        <family val="2"/>
      </rPr>
      <t>2,ist,lim</t>
    </r>
  </si>
  <si>
    <t>Media durata</t>
  </si>
  <si>
    <t>intermedio</t>
  </si>
  <si>
    <r>
      <t xml:space="preserve">Stabilità     </t>
    </r>
    <r>
      <rPr>
        <sz val="9"/>
        <rFont val="Symbol"/>
        <family val="1"/>
        <charset val="2"/>
      </rPr>
      <t xml:space="preserve"> s </t>
    </r>
    <r>
      <rPr>
        <vertAlign val="subscript"/>
        <sz val="9"/>
        <rFont val="Arial"/>
        <family val="2"/>
      </rPr>
      <t>m,2,d</t>
    </r>
    <r>
      <rPr>
        <sz val="9"/>
        <rFont val="Arial"/>
        <family val="2"/>
      </rPr>
      <t xml:space="preserve"> / (k</t>
    </r>
    <r>
      <rPr>
        <vertAlign val="subscript"/>
        <sz val="9"/>
        <rFont val="Arial"/>
        <family val="2"/>
      </rPr>
      <t xml:space="preserve">crit * </t>
    </r>
    <r>
      <rPr>
        <sz val="9"/>
        <rFont val="Arial"/>
        <family val="2"/>
      </rPr>
      <t>f</t>
    </r>
    <r>
      <rPr>
        <vertAlign val="subscript"/>
        <sz val="9"/>
        <rFont val="Arial"/>
        <family val="2"/>
      </rPr>
      <t>m,d</t>
    </r>
    <r>
      <rPr>
        <sz val="9"/>
        <rFont val="Arial"/>
        <family val="2"/>
      </rPr>
      <t>) =</t>
    </r>
  </si>
  <si>
    <r>
      <t>Freccia netta finale</t>
    </r>
    <r>
      <rPr>
        <sz val="9"/>
        <rFont val="Arial"/>
        <family val="2"/>
      </rPr>
      <t xml:space="preserve"> u</t>
    </r>
    <r>
      <rPr>
        <vertAlign val="subscript"/>
        <sz val="9"/>
        <rFont val="Arial"/>
        <family val="2"/>
      </rPr>
      <t xml:space="preserve">net,fin  </t>
    </r>
    <r>
      <rPr>
        <sz val="9"/>
        <rFont val="Arial"/>
        <family val="2"/>
      </rPr>
      <t>/ u</t>
    </r>
    <r>
      <rPr>
        <vertAlign val="subscript"/>
        <sz val="9"/>
        <rFont val="Arial"/>
        <family val="2"/>
      </rPr>
      <t>net,fin,lim</t>
    </r>
  </si>
  <si>
    <t>Breve durata</t>
  </si>
  <si>
    <t>C/O</t>
  </si>
  <si>
    <t>Taglio</t>
  </si>
  <si>
    <r>
      <t>t</t>
    </r>
    <r>
      <rPr>
        <vertAlign val="subscript"/>
        <sz val="9"/>
        <rFont val="Arial"/>
        <family val="2"/>
      </rPr>
      <t xml:space="preserve">d </t>
    </r>
    <r>
      <rPr>
        <sz val="9"/>
        <rFont val="Arial"/>
        <family val="2"/>
      </rPr>
      <t>/ f</t>
    </r>
    <r>
      <rPr>
        <vertAlign val="subscript"/>
        <sz val="9"/>
        <rFont val="Arial"/>
        <family val="2"/>
      </rPr>
      <t>v,d</t>
    </r>
    <r>
      <rPr>
        <sz val="9"/>
        <rFont val="Arial"/>
        <family val="2"/>
      </rPr>
      <t xml:space="preserve"> =</t>
    </r>
  </si>
  <si>
    <r>
      <t>Freccia netta finale</t>
    </r>
    <r>
      <rPr>
        <sz val="9"/>
        <rFont val="Arial"/>
        <family val="2"/>
      </rPr>
      <t xml:space="preserve"> u</t>
    </r>
    <r>
      <rPr>
        <vertAlign val="subscript"/>
        <sz val="9"/>
        <rFont val="Arial"/>
        <family val="2"/>
      </rPr>
      <t xml:space="preserve">fin  </t>
    </r>
    <r>
      <rPr>
        <sz val="9"/>
        <rFont val="Arial"/>
        <family val="2"/>
      </rPr>
      <t>/ u</t>
    </r>
    <r>
      <rPr>
        <vertAlign val="subscript"/>
        <sz val="9"/>
        <rFont val="Arial"/>
        <family val="2"/>
      </rPr>
      <t>fin,lim</t>
    </r>
  </si>
  <si>
    <t>Istantaneo</t>
  </si>
  <si>
    <r>
      <t xml:space="preserve">Compr. app. </t>
    </r>
    <r>
      <rPr>
        <sz val="9"/>
        <rFont val="Symbol"/>
        <family val="1"/>
        <charset val="2"/>
      </rPr>
      <t>s</t>
    </r>
    <r>
      <rPr>
        <vertAlign val="subscript"/>
        <sz val="9"/>
        <rFont val="Arial"/>
        <family val="2"/>
      </rPr>
      <t>c,90,d</t>
    </r>
    <r>
      <rPr>
        <sz val="9"/>
        <rFont val="Arial"/>
        <family val="2"/>
      </rPr>
      <t>/(k</t>
    </r>
    <r>
      <rPr>
        <vertAlign val="subscript"/>
        <sz val="9"/>
        <rFont val="Arial"/>
        <family val="2"/>
      </rPr>
      <t>c,90*</t>
    </r>
    <r>
      <rPr>
        <sz val="9"/>
        <rFont val="Arial"/>
        <family val="2"/>
      </rPr>
      <t>f</t>
    </r>
    <r>
      <rPr>
        <vertAlign val="subscript"/>
        <sz val="9"/>
        <rFont val="Arial"/>
        <family val="2"/>
      </rPr>
      <t>c,90,d</t>
    </r>
    <r>
      <rPr>
        <sz val="9"/>
        <rFont val="Arial"/>
        <family val="2"/>
      </rPr>
      <t>) =</t>
    </r>
  </si>
  <si>
    <t>Verifiche al fuoco:</t>
  </si>
  <si>
    <t>coefficienti</t>
  </si>
  <si>
    <t>max)</t>
  </si>
  <si>
    <r>
      <t>Valori di k</t>
    </r>
    <r>
      <rPr>
        <b/>
        <vertAlign val="subscript"/>
        <sz val="9"/>
        <rFont val="Arial"/>
        <family val="2"/>
      </rPr>
      <t>def</t>
    </r>
    <r>
      <rPr>
        <b/>
        <sz val="9"/>
        <rFont val="Arial"/>
        <family val="2"/>
      </rPr>
      <t xml:space="preserve"> per legno massiccio e legno lamellare incollato</t>
    </r>
  </si>
  <si>
    <t>Ricerca combinazione più gravosa per SLU</t>
  </si>
  <si>
    <t>Combinaz. 1)</t>
  </si>
  <si>
    <r>
      <t xml:space="preserve"> F</t>
    </r>
    <r>
      <rPr>
        <vertAlign val="subscript"/>
        <sz val="9"/>
        <rFont val="Times New Roman"/>
        <family val="1"/>
      </rPr>
      <t>d</t>
    </r>
    <r>
      <rPr>
        <sz val="9"/>
        <rFont val="Arial"/>
        <family val="2"/>
      </rPr>
      <t xml:space="preserve"> = 1,30 G</t>
    </r>
    <r>
      <rPr>
        <vertAlign val="subscript"/>
        <sz val="9"/>
        <rFont val="Arial"/>
        <family val="2"/>
      </rPr>
      <t>1k</t>
    </r>
    <r>
      <rPr>
        <sz val="9"/>
        <rFont val="Arial"/>
        <family val="2"/>
      </rPr>
      <t xml:space="preserve"> + 1,50 G</t>
    </r>
    <r>
      <rPr>
        <vertAlign val="subscript"/>
        <sz val="9"/>
        <rFont val="Arial"/>
        <family val="2"/>
      </rPr>
      <t>2</t>
    </r>
    <r>
      <rPr>
        <vertAlign val="subscript"/>
        <sz val="9"/>
        <rFont val="Times New Roman"/>
        <family val="1"/>
      </rPr>
      <t>k</t>
    </r>
  </si>
  <si>
    <r>
      <t>→</t>
    </r>
    <r>
      <rPr>
        <sz val="9"/>
        <rFont val="Arial"/>
        <family val="2"/>
      </rPr>
      <t xml:space="preserve">   </t>
    </r>
    <r>
      <rPr>
        <sz val="9"/>
        <rFont val="Arial"/>
        <family val="2"/>
      </rPr>
      <t>k</t>
    </r>
    <r>
      <rPr>
        <vertAlign val="subscript"/>
        <sz val="9"/>
        <rFont val="Arial"/>
        <family val="2"/>
      </rPr>
      <t xml:space="preserve">mod </t>
    </r>
    <r>
      <rPr>
        <sz val="9"/>
        <rFont val="Arial"/>
        <family val="2"/>
      </rPr>
      <t>=</t>
    </r>
  </si>
  <si>
    <t>Combo quasi perm. (massiccio/lamellare)</t>
  </si>
  <si>
    <t>Combinaz. 2)</t>
  </si>
  <si>
    <r>
      <t xml:space="preserve"> F</t>
    </r>
    <r>
      <rPr>
        <vertAlign val="subscript"/>
        <sz val="9"/>
        <rFont val="Times New Roman"/>
        <family val="1"/>
      </rPr>
      <t>d</t>
    </r>
    <r>
      <rPr>
        <sz val="9"/>
        <rFont val="Arial"/>
        <family val="2"/>
      </rPr>
      <t xml:space="preserve"> = 1,30 G</t>
    </r>
    <r>
      <rPr>
        <vertAlign val="subscript"/>
        <sz val="9"/>
        <rFont val="Times New Roman"/>
        <family val="1"/>
      </rPr>
      <t>k</t>
    </r>
    <r>
      <rPr>
        <sz val="9"/>
        <rFont val="Arial"/>
        <family val="2"/>
      </rPr>
      <t xml:space="preserve"> + 1,50 G</t>
    </r>
    <r>
      <rPr>
        <vertAlign val="subscript"/>
        <sz val="9"/>
        <rFont val="Arial"/>
        <family val="2"/>
      </rPr>
      <t>2k</t>
    </r>
    <r>
      <rPr>
        <sz val="9"/>
        <rFont val="Arial"/>
        <family val="2"/>
      </rPr>
      <t xml:space="preserve"> + 1,50 Q</t>
    </r>
    <r>
      <rPr>
        <vertAlign val="subscript"/>
        <sz val="9"/>
        <rFont val="Times New Roman"/>
        <family val="1"/>
      </rPr>
      <t>var,k</t>
    </r>
  </si>
  <si>
    <t>Combo quasi perm. (OSB)</t>
  </si>
  <si>
    <t>-</t>
  </si>
  <si>
    <t>fuoco</t>
  </si>
  <si>
    <t>Esito ricerca:</t>
  </si>
  <si>
    <t>Cat. A - Residenziale</t>
  </si>
  <si>
    <r>
      <t>F</t>
    </r>
    <r>
      <rPr>
        <sz val="9"/>
        <rFont val="Arial"/>
        <family val="2"/>
      </rPr>
      <t>2i</t>
    </r>
  </si>
  <si>
    <r>
      <t>carico di progetto uniforme q</t>
    </r>
    <r>
      <rPr>
        <vertAlign val="subscript"/>
        <sz val="9"/>
        <rFont val="Arial"/>
        <family val="2"/>
      </rPr>
      <t>d</t>
    </r>
    <r>
      <rPr>
        <sz val="9"/>
        <rFont val="Arial"/>
        <family val="2"/>
      </rPr>
      <t xml:space="preserve"> =</t>
    </r>
  </si>
  <si>
    <t>Cat. B - Uffici</t>
  </si>
  <si>
    <r>
      <t>carico di progetto puntuale P</t>
    </r>
    <r>
      <rPr>
        <vertAlign val="subscript"/>
        <sz val="9"/>
        <rFont val="Arial"/>
        <family val="2"/>
      </rPr>
      <t xml:space="preserve">d </t>
    </r>
    <r>
      <rPr>
        <sz val="9"/>
        <rFont val="Arial"/>
        <family val="2"/>
      </rPr>
      <t>=</t>
    </r>
  </si>
  <si>
    <t>Cat. C - Ambienti affollati</t>
  </si>
  <si>
    <t>Cat. D - Ambienti commerciali</t>
  </si>
  <si>
    <t>Cat. E - Aree immagazzinamento</t>
  </si>
  <si>
    <t>Cat. F - Rimesse (&lt;30kN)</t>
  </si>
  <si>
    <t>Cat. G - Rimesse (&gt;30kN)</t>
  </si>
  <si>
    <r>
      <t>R</t>
    </r>
    <r>
      <rPr>
        <vertAlign val="subscript"/>
        <sz val="9"/>
        <rFont val="Arial"/>
        <family val="2"/>
      </rPr>
      <t>appoggio B</t>
    </r>
    <r>
      <rPr>
        <sz val="9"/>
        <rFont val="Arial"/>
        <family val="2"/>
      </rPr>
      <t xml:space="preserve"> =</t>
    </r>
  </si>
  <si>
    <r>
      <t>kN    ( q</t>
    </r>
    <r>
      <rPr>
        <vertAlign val="subscript"/>
        <sz val="9"/>
        <rFont val="Arial"/>
        <family val="2"/>
      </rPr>
      <t xml:space="preserve">d </t>
    </r>
    <r>
      <rPr>
        <sz val="9"/>
        <rFont val="Italic"/>
      </rPr>
      <t>l</t>
    </r>
    <r>
      <rPr>
        <vertAlign val="superscript"/>
        <sz val="9"/>
        <rFont val="Arial"/>
        <family val="2"/>
      </rPr>
      <t xml:space="preserve"> </t>
    </r>
    <r>
      <rPr>
        <sz val="9"/>
        <rFont val="Arial"/>
        <family val="2"/>
      </rPr>
      <t>/ 2 + P</t>
    </r>
    <r>
      <rPr>
        <vertAlign val="subscript"/>
        <sz val="9"/>
        <rFont val="Arial"/>
        <family val="2"/>
      </rPr>
      <t>d</t>
    </r>
    <r>
      <rPr>
        <sz val="9"/>
        <rFont val="Arial"/>
        <family val="2"/>
      </rPr>
      <t xml:space="preserve"> / 2 )</t>
    </r>
  </si>
  <si>
    <t>Reazioni agli appoggi - sollecitazioni non combinate</t>
  </si>
  <si>
    <t>Cat. H - Cop. (manutenzione)</t>
  </si>
  <si>
    <r>
      <t>R</t>
    </r>
    <r>
      <rPr>
        <vertAlign val="subscript"/>
        <sz val="9"/>
        <rFont val="Arial"/>
        <family val="2"/>
      </rPr>
      <t>appoggio A</t>
    </r>
    <r>
      <rPr>
        <sz val="9"/>
        <rFont val="Arial"/>
        <family val="2"/>
      </rPr>
      <t xml:space="preserve"> =</t>
    </r>
  </si>
  <si>
    <r>
      <t>R</t>
    </r>
    <r>
      <rPr>
        <vertAlign val="subscript"/>
        <sz val="9"/>
        <rFont val="Arial"/>
        <family val="2"/>
      </rPr>
      <t>appoggio A, g1,k</t>
    </r>
    <r>
      <rPr>
        <sz val="9"/>
        <rFont val="Arial"/>
        <family val="2"/>
      </rPr>
      <t xml:space="preserve"> =</t>
    </r>
  </si>
  <si>
    <t>Cat. I - Cop. praticabili</t>
  </si>
  <si>
    <r>
      <t>V</t>
    </r>
    <r>
      <rPr>
        <vertAlign val="subscript"/>
        <sz val="9"/>
        <rFont val="Arial"/>
        <family val="2"/>
      </rPr>
      <t>appoggi</t>
    </r>
    <r>
      <rPr>
        <sz val="9"/>
        <rFont val="Arial"/>
        <family val="2"/>
      </rPr>
      <t xml:space="preserve"> =</t>
    </r>
  </si>
  <si>
    <r>
      <t>R</t>
    </r>
    <r>
      <rPr>
        <vertAlign val="subscript"/>
        <sz val="9"/>
        <rFont val="Arial"/>
        <family val="2"/>
      </rPr>
      <t>appoggio A, g2,k</t>
    </r>
    <r>
      <rPr>
        <sz val="9"/>
        <rFont val="Arial"/>
        <family val="2"/>
      </rPr>
      <t xml:space="preserve"> =</t>
    </r>
  </si>
  <si>
    <t>Cat. K - Cop. usi speciali</t>
  </si>
  <si>
    <r>
      <t>M</t>
    </r>
    <r>
      <rPr>
        <vertAlign val="subscript"/>
        <sz val="9"/>
        <rFont val="Arial"/>
        <family val="2"/>
      </rPr>
      <t>campata</t>
    </r>
    <r>
      <rPr>
        <sz val="9"/>
        <rFont val="Arial"/>
        <family val="2"/>
      </rPr>
      <t xml:space="preserve"> =</t>
    </r>
  </si>
  <si>
    <r>
      <t>kNm    ( q</t>
    </r>
    <r>
      <rPr>
        <vertAlign val="subscript"/>
        <sz val="9"/>
        <rFont val="Arial"/>
        <family val="2"/>
      </rPr>
      <t>d</t>
    </r>
    <r>
      <rPr>
        <sz val="9"/>
        <rFont val="Arial"/>
        <family val="2"/>
      </rPr>
      <t xml:space="preserve"> </t>
    </r>
    <r>
      <rPr>
        <sz val="9"/>
        <rFont val="Italic"/>
      </rPr>
      <t>l</t>
    </r>
    <r>
      <rPr>
        <vertAlign val="superscript"/>
        <sz val="9"/>
        <rFont val="Arial"/>
        <family val="2"/>
      </rPr>
      <t>2</t>
    </r>
    <r>
      <rPr>
        <sz val="9"/>
        <rFont val="Arial"/>
        <family val="2"/>
      </rPr>
      <t xml:space="preserve"> / 8 + P</t>
    </r>
    <r>
      <rPr>
        <vertAlign val="subscript"/>
        <sz val="9"/>
        <rFont val="Arial"/>
        <family val="2"/>
      </rPr>
      <t>d</t>
    </r>
    <r>
      <rPr>
        <sz val="9"/>
        <rFont val="Arial"/>
        <family val="2"/>
      </rPr>
      <t xml:space="preserve"> </t>
    </r>
    <r>
      <rPr>
        <sz val="9"/>
        <rFont val="Italic"/>
      </rPr>
      <t>l</t>
    </r>
    <r>
      <rPr>
        <sz val="9"/>
        <rFont val="Arial"/>
        <family val="2"/>
      </rPr>
      <t xml:space="preserve"> / 4 )</t>
    </r>
  </si>
  <si>
    <r>
      <t>R</t>
    </r>
    <r>
      <rPr>
        <vertAlign val="subscript"/>
        <sz val="9"/>
        <rFont val="Arial"/>
        <family val="2"/>
      </rPr>
      <t>appoggio A, q,k</t>
    </r>
    <r>
      <rPr>
        <sz val="9"/>
        <rFont val="Arial"/>
        <family val="2"/>
      </rPr>
      <t xml:space="preserve"> =</t>
    </r>
  </si>
  <si>
    <t>Vento</t>
  </si>
  <si>
    <r>
      <t>R</t>
    </r>
    <r>
      <rPr>
        <vertAlign val="subscript"/>
        <sz val="9"/>
        <rFont val="Arial"/>
        <family val="2"/>
      </rPr>
      <t>appoggio B, g1,k</t>
    </r>
    <r>
      <rPr>
        <sz val="9"/>
        <rFont val="Arial"/>
        <family val="2"/>
      </rPr>
      <t xml:space="preserve"> =</t>
    </r>
  </si>
  <si>
    <t>Neve (&lt;1000 m)</t>
  </si>
  <si>
    <t>Sollecitazioni massime</t>
  </si>
  <si>
    <r>
      <t>R</t>
    </r>
    <r>
      <rPr>
        <vertAlign val="subscript"/>
        <sz val="9"/>
        <rFont val="Arial"/>
        <family val="2"/>
      </rPr>
      <t>appoggio B, g2,k</t>
    </r>
    <r>
      <rPr>
        <sz val="9"/>
        <rFont val="Arial"/>
        <family val="2"/>
      </rPr>
      <t xml:space="preserve"> =</t>
    </r>
  </si>
  <si>
    <r>
      <t>V</t>
    </r>
    <r>
      <rPr>
        <vertAlign val="subscript"/>
        <sz val="9"/>
        <rFont val="Arial"/>
        <family val="2"/>
      </rPr>
      <t>3</t>
    </r>
    <r>
      <rPr>
        <sz val="9"/>
        <rFont val="Arial"/>
        <family val="2"/>
      </rPr>
      <t xml:space="preserve"> =</t>
    </r>
  </si>
  <si>
    <r>
      <t>R</t>
    </r>
    <r>
      <rPr>
        <vertAlign val="subscript"/>
        <sz val="9"/>
        <rFont val="Arial"/>
        <family val="2"/>
      </rPr>
      <t>appoggio B, q,k</t>
    </r>
    <r>
      <rPr>
        <sz val="9"/>
        <rFont val="Arial"/>
        <family val="2"/>
      </rPr>
      <t xml:space="preserve"> =</t>
    </r>
  </si>
  <si>
    <t>Azione istantanea</t>
  </si>
  <si>
    <r>
      <t>M</t>
    </r>
    <r>
      <rPr>
        <vertAlign val="subscript"/>
        <sz val="9"/>
        <rFont val="Arial"/>
        <family val="2"/>
      </rPr>
      <t>22</t>
    </r>
    <r>
      <rPr>
        <sz val="9"/>
        <rFont val="Arial"/>
        <family val="2"/>
      </rPr>
      <t xml:space="preserve"> =</t>
    </r>
  </si>
  <si>
    <t>kNm</t>
  </si>
  <si>
    <t>Tensioni</t>
  </si>
  <si>
    <r>
      <t>t</t>
    </r>
    <r>
      <rPr>
        <vertAlign val="subscript"/>
        <sz val="9"/>
        <rFont val="Arial"/>
        <family val="2"/>
      </rPr>
      <t>d</t>
    </r>
    <r>
      <rPr>
        <sz val="9"/>
        <rFont val="Arial"/>
        <family val="2"/>
      </rPr>
      <t xml:space="preserve"> = 1,5 V</t>
    </r>
    <r>
      <rPr>
        <vertAlign val="subscript"/>
        <sz val="9"/>
        <rFont val="Arial"/>
        <family val="2"/>
      </rPr>
      <t>3</t>
    </r>
    <r>
      <rPr>
        <sz val="9"/>
        <rFont val="Arial"/>
        <family val="2"/>
      </rPr>
      <t xml:space="preserve"> / hb</t>
    </r>
    <r>
      <rPr>
        <vertAlign val="subscript"/>
        <sz val="9"/>
        <rFont val="Arial"/>
        <family val="2"/>
      </rPr>
      <t>ef</t>
    </r>
    <r>
      <rPr>
        <sz val="9"/>
        <rFont val="Arial"/>
        <family val="2"/>
      </rPr>
      <t xml:space="preserve"> =</t>
    </r>
  </si>
  <si>
    <t>Reazioni agli appoggi - c. di c. rara (g+q)</t>
  </si>
  <si>
    <t>NORMATIVE DISPONIBILI</t>
  </si>
  <si>
    <r>
      <t>s</t>
    </r>
    <r>
      <rPr>
        <vertAlign val="subscript"/>
        <sz val="9"/>
        <rFont val="Arial"/>
        <family val="2"/>
      </rPr>
      <t>m,2,d</t>
    </r>
    <r>
      <rPr>
        <vertAlign val="subscript"/>
        <sz val="9"/>
        <rFont val="Symbol"/>
        <family val="1"/>
        <charset val="2"/>
      </rPr>
      <t xml:space="preserve"> </t>
    </r>
    <r>
      <rPr>
        <sz val="9"/>
        <rFont val="Symbol"/>
        <family val="1"/>
        <charset val="2"/>
      </rPr>
      <t>=</t>
    </r>
    <r>
      <rPr>
        <sz val="9"/>
        <rFont val="Arial"/>
        <family val="2"/>
      </rPr>
      <t xml:space="preserve"> M</t>
    </r>
    <r>
      <rPr>
        <vertAlign val="subscript"/>
        <sz val="9"/>
        <rFont val="Arial"/>
        <family val="2"/>
      </rPr>
      <t>22</t>
    </r>
    <r>
      <rPr>
        <sz val="9"/>
        <rFont val="Arial"/>
        <family val="2"/>
      </rPr>
      <t xml:space="preserve"> / W</t>
    </r>
    <r>
      <rPr>
        <vertAlign val="subscript"/>
        <sz val="9"/>
        <rFont val="Arial"/>
        <family val="2"/>
      </rPr>
      <t>22</t>
    </r>
    <r>
      <rPr>
        <sz val="9"/>
        <rFont val="Arial"/>
        <family val="2"/>
      </rPr>
      <t xml:space="preserve"> =</t>
    </r>
  </si>
  <si>
    <r>
      <t>R</t>
    </r>
    <r>
      <rPr>
        <vertAlign val="subscript"/>
        <sz val="9"/>
        <rFont val="Arial"/>
        <family val="2"/>
      </rPr>
      <t>appoggio A, c. di c. rara</t>
    </r>
    <r>
      <rPr>
        <sz val="9"/>
        <rFont val="Arial"/>
        <family val="2"/>
      </rPr>
      <t xml:space="preserve"> =</t>
    </r>
  </si>
  <si>
    <t>FORMULE</t>
  </si>
  <si>
    <t>VALORI</t>
  </si>
  <si>
    <t>DESCRIZIONE</t>
  </si>
  <si>
    <r>
      <t>s</t>
    </r>
    <r>
      <rPr>
        <vertAlign val="subscript"/>
        <sz val="9"/>
        <rFont val="Arial"/>
        <family val="2"/>
      </rPr>
      <t>c,90,d</t>
    </r>
    <r>
      <rPr>
        <vertAlign val="subscript"/>
        <sz val="9"/>
        <rFont val="Symbol"/>
        <family val="1"/>
        <charset val="2"/>
      </rPr>
      <t xml:space="preserve"> </t>
    </r>
    <r>
      <rPr>
        <sz val="9"/>
        <rFont val="Symbol"/>
        <family val="1"/>
        <charset val="2"/>
      </rPr>
      <t>=</t>
    </r>
    <r>
      <rPr>
        <sz val="9"/>
        <rFont val="Arial"/>
        <family val="2"/>
      </rPr>
      <t xml:space="preserve"> V</t>
    </r>
    <r>
      <rPr>
        <vertAlign val="subscript"/>
        <sz val="9"/>
        <rFont val="Arial"/>
        <family val="2"/>
      </rPr>
      <t>3</t>
    </r>
    <r>
      <rPr>
        <sz val="9"/>
        <rFont val="Arial"/>
        <family val="2"/>
      </rPr>
      <t xml:space="preserve"> / (b l</t>
    </r>
    <r>
      <rPr>
        <vertAlign val="subscript"/>
        <sz val="9"/>
        <rFont val="Arial"/>
        <family val="2"/>
      </rPr>
      <t>app-calcolo</t>
    </r>
    <r>
      <rPr>
        <sz val="9"/>
        <rFont val="Arial"/>
        <family val="2"/>
      </rPr>
      <t>) =</t>
    </r>
  </si>
  <si>
    <t>Mpa</t>
  </si>
  <si>
    <r>
      <t>R</t>
    </r>
    <r>
      <rPr>
        <vertAlign val="subscript"/>
        <sz val="9"/>
        <rFont val="Arial"/>
        <family val="2"/>
      </rPr>
      <t>appoggio B, c. di c. rara</t>
    </r>
    <r>
      <rPr>
        <sz val="9"/>
        <rFont val="Arial"/>
        <family val="2"/>
      </rPr>
      <t xml:space="preserve"> =</t>
    </r>
  </si>
  <si>
    <t>+ EC5-1-1:2005</t>
  </si>
  <si>
    <t>+ EC5-1-1:2009</t>
  </si>
  <si>
    <t>+ DT206:2018</t>
  </si>
  <si>
    <t>eq. [6.13(a)]</t>
  </si>
  <si>
    <t>eq. [7.17]</t>
  </si>
  <si>
    <t xml:space="preserve">Coefficienti </t>
  </si>
  <si>
    <r>
      <t>k</t>
    </r>
    <r>
      <rPr>
        <vertAlign val="subscript"/>
        <sz val="10"/>
        <rFont val="Arial"/>
        <family val="2"/>
      </rPr>
      <t>ef,mass</t>
    </r>
  </si>
  <si>
    <r>
      <t>k</t>
    </r>
    <r>
      <rPr>
        <vertAlign val="subscript"/>
        <sz val="9"/>
        <rFont val="Arial"/>
        <family val="2"/>
      </rPr>
      <t xml:space="preserve">mod </t>
    </r>
    <r>
      <rPr>
        <sz val="9"/>
        <rFont val="Arial"/>
        <family val="2"/>
      </rPr>
      <t>=</t>
    </r>
  </si>
  <si>
    <r>
      <t>k</t>
    </r>
    <r>
      <rPr>
        <vertAlign val="subscript"/>
        <sz val="10"/>
        <rFont val="Arial"/>
        <family val="2"/>
      </rPr>
      <t>ef,lam</t>
    </r>
  </si>
  <si>
    <r>
      <t>g</t>
    </r>
    <r>
      <rPr>
        <vertAlign val="subscript"/>
        <sz val="9"/>
        <rFont val="Arial"/>
        <family val="2"/>
      </rPr>
      <t>M</t>
    </r>
    <r>
      <rPr>
        <sz val="9"/>
        <rFont val="Arial"/>
        <family val="2"/>
      </rPr>
      <t xml:space="preserve"> =</t>
    </r>
  </si>
  <si>
    <t>stab</t>
  </si>
  <si>
    <r>
      <t>σ</t>
    </r>
    <r>
      <rPr>
        <vertAlign val="subscript"/>
        <sz val="8"/>
        <rFont val="Arial"/>
        <family val="2"/>
      </rPr>
      <t>m,crit</t>
    </r>
    <r>
      <rPr>
        <sz val="8"/>
        <rFont val="Arial"/>
        <family val="2"/>
      </rPr>
      <t xml:space="preserve"> = 0,78</t>
    </r>
    <r>
      <rPr>
        <sz val="8"/>
        <rFont val="Symbol"/>
        <family val="1"/>
        <charset val="2"/>
      </rPr>
      <t xml:space="preserve"> </t>
    </r>
    <r>
      <rPr>
        <sz val="8"/>
        <rFont val="Arial"/>
        <family val="2"/>
      </rPr>
      <t>b</t>
    </r>
    <r>
      <rPr>
        <vertAlign val="superscript"/>
        <sz val="8"/>
        <rFont val="Arial"/>
        <family val="2"/>
      </rPr>
      <t>2</t>
    </r>
    <r>
      <rPr>
        <sz val="8"/>
        <rFont val="Arial"/>
        <family val="2"/>
      </rPr>
      <t xml:space="preserve"> / (</t>
    </r>
    <r>
      <rPr>
        <sz val="8"/>
        <rFont val="Italic"/>
      </rPr>
      <t>l</t>
    </r>
    <r>
      <rPr>
        <vertAlign val="subscript"/>
        <sz val="8"/>
        <rFont val="Arial"/>
        <family val="2"/>
      </rPr>
      <t xml:space="preserve">3,eff </t>
    </r>
    <r>
      <rPr>
        <sz val="8"/>
        <rFont val="Arial"/>
        <family val="2"/>
      </rPr>
      <t>h) ) E</t>
    </r>
    <r>
      <rPr>
        <vertAlign val="subscript"/>
        <sz val="8"/>
        <rFont val="Arial"/>
        <family val="2"/>
      </rPr>
      <t>0,05</t>
    </r>
    <r>
      <rPr>
        <sz val="8"/>
        <rFont val="Arial"/>
        <family val="2"/>
      </rPr>
      <t xml:space="preserve"> =</t>
    </r>
  </si>
  <si>
    <t>eq. [6.32]</t>
  </si>
  <si>
    <t>eq. [7.25]</t>
  </si>
  <si>
    <r>
      <t>k</t>
    </r>
    <r>
      <rPr>
        <vertAlign val="subscript"/>
        <sz val="9"/>
        <rFont val="Arial"/>
        <family val="2"/>
      </rPr>
      <t xml:space="preserve">mod </t>
    </r>
    <r>
      <rPr>
        <sz val="9"/>
        <rFont val="Arial"/>
        <family val="2"/>
      </rPr>
      <t xml:space="preserve">/ </t>
    </r>
    <r>
      <rPr>
        <sz val="9"/>
        <rFont val="Symbol"/>
        <family val="1"/>
        <charset val="2"/>
      </rPr>
      <t>g</t>
    </r>
    <r>
      <rPr>
        <vertAlign val="subscript"/>
        <sz val="9"/>
        <rFont val="Arial"/>
        <family val="2"/>
      </rPr>
      <t>M</t>
    </r>
    <r>
      <rPr>
        <sz val="9"/>
        <rFont val="Arial"/>
        <family val="2"/>
      </rPr>
      <t xml:space="preserve"> =</t>
    </r>
  </si>
  <si>
    <t>comp orto</t>
  </si>
  <si>
    <r>
      <t>k</t>
    </r>
    <r>
      <rPr>
        <vertAlign val="subscript"/>
        <sz val="8"/>
        <rFont val="Arial"/>
        <family val="2"/>
      </rPr>
      <t>c,90</t>
    </r>
    <r>
      <rPr>
        <sz val="8"/>
        <rFont val="Arial"/>
        <family val="2"/>
      </rPr>
      <t xml:space="preserve"> = (2,38  - l</t>
    </r>
    <r>
      <rPr>
        <vertAlign val="subscript"/>
        <sz val="8"/>
        <rFont val="Arial"/>
        <family val="2"/>
      </rPr>
      <t>app</t>
    </r>
    <r>
      <rPr>
        <sz val="8"/>
        <rFont val="Arial"/>
        <family val="2"/>
      </rPr>
      <t xml:space="preserve"> / 250)(1 + h / (12 l </t>
    </r>
    <r>
      <rPr>
        <vertAlign val="subscript"/>
        <sz val="8"/>
        <rFont val="Arial"/>
        <family val="2"/>
      </rPr>
      <t>app</t>
    </r>
    <r>
      <rPr>
        <sz val="8"/>
        <rFont val="Arial"/>
        <family val="2"/>
      </rPr>
      <t>)) ≤ 4</t>
    </r>
  </si>
  <si>
    <r>
      <t>k</t>
    </r>
    <r>
      <rPr>
        <vertAlign val="subscript"/>
        <sz val="8"/>
        <rFont val="Arial"/>
        <family val="2"/>
      </rPr>
      <t>c,90</t>
    </r>
    <r>
      <rPr>
        <sz val="8"/>
        <rFont val="Arial"/>
        <family val="2"/>
      </rPr>
      <t xml:space="preserve"> =</t>
    </r>
  </si>
  <si>
    <t>eq. [6.4]</t>
  </si>
  <si>
    <t>par (6.1.5)</t>
  </si>
  <si>
    <t>leff comp orto</t>
  </si>
  <si>
    <r>
      <t>l</t>
    </r>
    <r>
      <rPr>
        <vertAlign val="subscript"/>
        <sz val="8"/>
        <rFont val="Arial"/>
        <family val="2"/>
      </rPr>
      <t xml:space="preserve">,app-calcolo </t>
    </r>
    <r>
      <rPr>
        <sz val="8"/>
        <rFont val="Arial"/>
        <family val="2"/>
      </rPr>
      <t>=</t>
    </r>
  </si>
  <si>
    <t>eq. [7.10]</t>
  </si>
  <si>
    <t>Resistenze di calcolo</t>
  </si>
  <si>
    <r>
      <t>h</t>
    </r>
    <r>
      <rPr>
        <vertAlign val="subscript"/>
        <sz val="9"/>
        <rFont val="Arial"/>
        <family val="2"/>
      </rPr>
      <t>pfd</t>
    </r>
    <r>
      <rPr>
        <sz val="9"/>
        <rFont val="Arial"/>
        <family val="2"/>
      </rPr>
      <t xml:space="preserve"> (1)</t>
    </r>
    <r>
      <rPr>
        <sz val="9"/>
        <rFont val="Symbol"/>
        <family val="1"/>
        <charset val="2"/>
      </rPr>
      <t>=</t>
    </r>
  </si>
  <si>
    <r>
      <t>f</t>
    </r>
    <r>
      <rPr>
        <vertAlign val="subscript"/>
        <sz val="9"/>
        <rFont val="Arial"/>
        <family val="2"/>
      </rPr>
      <t>m,d</t>
    </r>
    <r>
      <rPr>
        <sz val="9"/>
        <rFont val="Symbol"/>
        <family val="1"/>
        <charset val="2"/>
      </rPr>
      <t xml:space="preserve"> =</t>
    </r>
    <r>
      <rPr>
        <sz val="9"/>
        <rFont val="Arial"/>
        <family val="2"/>
      </rPr>
      <t xml:space="preserve"> k</t>
    </r>
    <r>
      <rPr>
        <vertAlign val="subscript"/>
        <sz val="9"/>
        <rFont val="Arial"/>
        <family val="2"/>
      </rPr>
      <t>h</t>
    </r>
    <r>
      <rPr>
        <sz val="9"/>
        <rFont val="Arial"/>
        <family val="2"/>
      </rPr>
      <t xml:space="preserve"> f</t>
    </r>
    <r>
      <rPr>
        <vertAlign val="subscript"/>
        <sz val="9"/>
        <rFont val="Arial"/>
        <family val="2"/>
      </rPr>
      <t>m,k</t>
    </r>
    <r>
      <rPr>
        <sz val="9"/>
        <rFont val="Arial"/>
        <family val="2"/>
      </rPr>
      <t xml:space="preserve"> k</t>
    </r>
    <r>
      <rPr>
        <vertAlign val="subscript"/>
        <sz val="9"/>
        <rFont val="Arial"/>
        <family val="2"/>
      </rPr>
      <t>mod</t>
    </r>
    <r>
      <rPr>
        <sz val="9"/>
        <rFont val="Arial"/>
        <family val="2"/>
      </rPr>
      <t xml:space="preserve"> / </t>
    </r>
    <r>
      <rPr>
        <sz val="9"/>
        <rFont val="Symbol"/>
        <family val="1"/>
        <charset val="2"/>
      </rPr>
      <t>g</t>
    </r>
    <r>
      <rPr>
        <vertAlign val="subscript"/>
        <sz val="9"/>
        <rFont val="Arial"/>
        <family val="2"/>
      </rPr>
      <t xml:space="preserve">M </t>
    </r>
    <r>
      <rPr>
        <sz val="9"/>
        <rFont val="Arial"/>
        <family val="2"/>
      </rPr>
      <t>=</t>
    </r>
  </si>
  <si>
    <r>
      <t>h</t>
    </r>
    <r>
      <rPr>
        <vertAlign val="subscript"/>
        <sz val="9"/>
        <rFont val="Arial"/>
        <family val="2"/>
      </rPr>
      <t>pfd</t>
    </r>
    <r>
      <rPr>
        <sz val="9"/>
        <rFont val="Arial"/>
        <family val="2"/>
      </rPr>
      <t xml:space="preserve"> (2)</t>
    </r>
    <r>
      <rPr>
        <sz val="9"/>
        <rFont val="Symbol"/>
        <family val="1"/>
        <charset val="2"/>
      </rPr>
      <t>=</t>
    </r>
  </si>
  <si>
    <r>
      <t>f</t>
    </r>
    <r>
      <rPr>
        <vertAlign val="subscript"/>
        <sz val="9"/>
        <rFont val="Arial"/>
        <family val="2"/>
      </rPr>
      <t>v,d</t>
    </r>
    <r>
      <rPr>
        <sz val="9"/>
        <rFont val="Symbol"/>
        <family val="1"/>
        <charset val="2"/>
      </rPr>
      <t xml:space="preserve"> =</t>
    </r>
    <r>
      <rPr>
        <sz val="9"/>
        <rFont val="Arial"/>
        <family val="2"/>
      </rPr>
      <t xml:space="preserve"> f</t>
    </r>
    <r>
      <rPr>
        <vertAlign val="subscript"/>
        <sz val="9"/>
        <rFont val="Arial"/>
        <family val="2"/>
      </rPr>
      <t>v,k</t>
    </r>
    <r>
      <rPr>
        <sz val="9"/>
        <rFont val="Arial"/>
        <family val="2"/>
      </rPr>
      <t xml:space="preserve"> k</t>
    </r>
    <r>
      <rPr>
        <vertAlign val="subscript"/>
        <sz val="9"/>
        <rFont val="Arial"/>
        <family val="2"/>
      </rPr>
      <t>mod</t>
    </r>
    <r>
      <rPr>
        <sz val="9"/>
        <rFont val="Arial"/>
        <family val="2"/>
      </rPr>
      <t xml:space="preserve"> / </t>
    </r>
    <r>
      <rPr>
        <sz val="9"/>
        <rFont val="Symbol"/>
        <family val="1"/>
        <charset val="2"/>
      </rPr>
      <t>g</t>
    </r>
    <r>
      <rPr>
        <vertAlign val="subscript"/>
        <sz val="9"/>
        <rFont val="Arial"/>
        <family val="2"/>
      </rPr>
      <t xml:space="preserve">M </t>
    </r>
    <r>
      <rPr>
        <sz val="9"/>
        <rFont val="Arial"/>
        <family val="2"/>
      </rPr>
      <t>=</t>
    </r>
  </si>
  <si>
    <r>
      <t>h</t>
    </r>
    <r>
      <rPr>
        <vertAlign val="subscript"/>
        <sz val="9"/>
        <rFont val="Arial"/>
        <family val="2"/>
      </rPr>
      <t>pfd</t>
    </r>
    <r>
      <rPr>
        <sz val="9"/>
        <rFont val="Arial"/>
        <family val="2"/>
      </rPr>
      <t xml:space="preserve"> (3)</t>
    </r>
    <r>
      <rPr>
        <sz val="9"/>
        <rFont val="Symbol"/>
        <family val="1"/>
        <charset val="2"/>
      </rPr>
      <t>=</t>
    </r>
  </si>
  <si>
    <r>
      <t>f</t>
    </r>
    <r>
      <rPr>
        <vertAlign val="subscript"/>
        <sz val="9"/>
        <rFont val="Arial"/>
        <family val="2"/>
      </rPr>
      <t>c,90,d</t>
    </r>
    <r>
      <rPr>
        <sz val="9"/>
        <rFont val="Symbol"/>
        <family val="1"/>
        <charset val="2"/>
      </rPr>
      <t xml:space="preserve"> =</t>
    </r>
    <r>
      <rPr>
        <sz val="9"/>
        <rFont val="Arial"/>
        <family val="2"/>
      </rPr>
      <t xml:space="preserve"> f</t>
    </r>
    <r>
      <rPr>
        <vertAlign val="subscript"/>
        <sz val="9"/>
        <rFont val="Arial"/>
        <family val="2"/>
      </rPr>
      <t>c,90,k</t>
    </r>
    <r>
      <rPr>
        <sz val="9"/>
        <rFont val="Arial"/>
        <family val="2"/>
      </rPr>
      <t xml:space="preserve"> k</t>
    </r>
    <r>
      <rPr>
        <vertAlign val="subscript"/>
        <sz val="9"/>
        <rFont val="Arial"/>
        <family val="2"/>
      </rPr>
      <t>mod</t>
    </r>
    <r>
      <rPr>
        <sz val="9"/>
        <rFont val="Arial"/>
        <family val="2"/>
      </rPr>
      <t xml:space="preserve"> / </t>
    </r>
    <r>
      <rPr>
        <sz val="9"/>
        <rFont val="Symbol"/>
        <family val="1"/>
        <charset val="2"/>
      </rPr>
      <t>g</t>
    </r>
    <r>
      <rPr>
        <vertAlign val="subscript"/>
        <sz val="9"/>
        <rFont val="Arial"/>
        <family val="2"/>
      </rPr>
      <t xml:space="preserve">M </t>
    </r>
    <r>
      <rPr>
        <sz val="9"/>
        <rFont val="Arial"/>
        <family val="2"/>
      </rPr>
      <t>=</t>
    </r>
  </si>
  <si>
    <r>
      <t>h</t>
    </r>
    <r>
      <rPr>
        <vertAlign val="subscript"/>
        <sz val="9"/>
        <rFont val="Arial"/>
        <family val="2"/>
      </rPr>
      <t>pfd</t>
    </r>
    <r>
      <rPr>
        <sz val="9"/>
        <rFont val="Arial"/>
        <family val="2"/>
      </rPr>
      <t xml:space="preserve"> (4)</t>
    </r>
    <r>
      <rPr>
        <sz val="9"/>
        <rFont val="Symbol"/>
        <family val="1"/>
        <charset val="2"/>
      </rPr>
      <t>=</t>
    </r>
  </si>
  <si>
    <r>
      <t>h</t>
    </r>
    <r>
      <rPr>
        <vertAlign val="subscript"/>
        <sz val="9"/>
        <rFont val="Arial"/>
        <family val="2"/>
      </rPr>
      <t>pfr</t>
    </r>
    <r>
      <rPr>
        <sz val="9"/>
        <rFont val="Arial"/>
        <family val="2"/>
      </rPr>
      <t xml:space="preserve"> (1)</t>
    </r>
    <r>
      <rPr>
        <sz val="9"/>
        <rFont val="Symbol"/>
        <family val="1"/>
        <charset val="2"/>
      </rPr>
      <t>=</t>
    </r>
  </si>
  <si>
    <r>
      <t>Calcolo del coefficiente di sbandamento laterale k</t>
    </r>
    <r>
      <rPr>
        <b/>
        <vertAlign val="subscript"/>
        <sz val="9"/>
        <rFont val="Arial"/>
        <family val="2"/>
      </rPr>
      <t xml:space="preserve">crit  </t>
    </r>
    <r>
      <rPr>
        <b/>
        <sz val="9"/>
        <rFont val="Arial"/>
        <family val="2"/>
      </rPr>
      <t>(sbandamento nel piano debole 1-2)</t>
    </r>
  </si>
  <si>
    <r>
      <t>h</t>
    </r>
    <r>
      <rPr>
        <vertAlign val="subscript"/>
        <sz val="9"/>
        <rFont val="Arial"/>
        <family val="2"/>
      </rPr>
      <t>pfr</t>
    </r>
    <r>
      <rPr>
        <sz val="9"/>
        <rFont val="Arial"/>
        <family val="2"/>
      </rPr>
      <t xml:space="preserve"> (2)</t>
    </r>
    <r>
      <rPr>
        <sz val="9"/>
        <rFont val="Symbol"/>
        <family val="1"/>
        <charset val="2"/>
      </rPr>
      <t>=</t>
    </r>
  </si>
  <si>
    <r>
      <t>k</t>
    </r>
    <r>
      <rPr>
        <vertAlign val="subscript"/>
        <sz val="9"/>
        <rFont val="Arial"/>
        <family val="2"/>
      </rPr>
      <t>crit</t>
    </r>
    <r>
      <rPr>
        <sz val="9"/>
        <rFont val="Arial"/>
        <family val="2"/>
      </rPr>
      <t xml:space="preserve"> =  (formule in funzione di </t>
    </r>
    <r>
      <rPr>
        <sz val="9"/>
        <rFont val="Symbol"/>
        <family val="1"/>
        <charset val="2"/>
      </rPr>
      <t>l</t>
    </r>
    <r>
      <rPr>
        <vertAlign val="subscript"/>
        <sz val="9"/>
        <rFont val="Arial"/>
        <family val="2"/>
      </rPr>
      <t>rel,m</t>
    </r>
    <r>
      <rPr>
        <sz val="9"/>
        <rFont val="Arial"/>
        <family val="2"/>
      </rPr>
      <t>)</t>
    </r>
  </si>
  <si>
    <t>norma</t>
  </si>
  <si>
    <t>+ EC5-1-2:2005</t>
  </si>
  <si>
    <r>
      <t>l</t>
    </r>
    <r>
      <rPr>
        <vertAlign val="subscript"/>
        <sz val="9"/>
        <rFont val="Arial"/>
        <family val="2"/>
      </rPr>
      <t>rel,m</t>
    </r>
    <r>
      <rPr>
        <sz val="9"/>
        <rFont val="Arial"/>
        <family val="2"/>
      </rPr>
      <t xml:space="preserve"> = ( f</t>
    </r>
    <r>
      <rPr>
        <vertAlign val="subscript"/>
        <sz val="9"/>
        <rFont val="Arial"/>
        <family val="2"/>
      </rPr>
      <t xml:space="preserve">m,k </t>
    </r>
    <r>
      <rPr>
        <sz val="9"/>
        <rFont val="Arial"/>
        <family val="2"/>
      </rPr>
      <t xml:space="preserve">/ </t>
    </r>
    <r>
      <rPr>
        <sz val="9"/>
        <rFont val="Symbol"/>
        <family val="1"/>
        <charset val="2"/>
      </rPr>
      <t>s</t>
    </r>
    <r>
      <rPr>
        <vertAlign val="subscript"/>
        <sz val="9"/>
        <rFont val="Arial"/>
        <family val="2"/>
      </rPr>
      <t>m,crit</t>
    </r>
    <r>
      <rPr>
        <sz val="9"/>
        <rFont val="Symbol"/>
        <family val="1"/>
        <charset val="2"/>
      </rPr>
      <t xml:space="preserve"> </t>
    </r>
    <r>
      <rPr>
        <sz val="9"/>
        <rFont val="Arial"/>
        <family val="2"/>
      </rPr>
      <t>)</t>
    </r>
    <r>
      <rPr>
        <vertAlign val="superscript"/>
        <sz val="9"/>
        <rFont val="Arial"/>
        <family val="2"/>
      </rPr>
      <t xml:space="preserve">0,5 </t>
    </r>
    <r>
      <rPr>
        <sz val="9"/>
        <rFont val="Arial"/>
        <family val="2"/>
      </rPr>
      <t>=</t>
    </r>
  </si>
  <si>
    <t>snellezza a flessione</t>
  </si>
  <si>
    <r>
      <t>σ</t>
    </r>
    <r>
      <rPr>
        <vertAlign val="subscript"/>
        <sz val="8"/>
        <rFont val="Arial"/>
        <family val="2"/>
      </rPr>
      <t>m,crit</t>
    </r>
    <r>
      <rPr>
        <sz val="8"/>
        <rFont val="Arial"/>
        <family val="2"/>
      </rPr>
      <t xml:space="preserve"> = 0,78</t>
    </r>
    <r>
      <rPr>
        <sz val="8"/>
        <rFont val="Symbol"/>
        <family val="1"/>
        <charset val="2"/>
      </rPr>
      <t xml:space="preserve"> </t>
    </r>
    <r>
      <rPr>
        <sz val="8"/>
        <rFont val="Arial"/>
        <family val="2"/>
      </rPr>
      <t>b</t>
    </r>
    <r>
      <rPr>
        <vertAlign val="superscript"/>
        <sz val="8"/>
        <rFont val="Arial"/>
        <family val="2"/>
      </rPr>
      <t>2</t>
    </r>
    <r>
      <rPr>
        <sz val="8"/>
        <rFont val="Arial"/>
        <family val="2"/>
      </rPr>
      <t xml:space="preserve"> / (</t>
    </r>
    <r>
      <rPr>
        <sz val="8"/>
        <rFont val="Italic"/>
      </rPr>
      <t>l</t>
    </r>
    <r>
      <rPr>
        <vertAlign val="subscript"/>
        <sz val="8"/>
        <rFont val="Arial"/>
        <family val="2"/>
      </rPr>
      <t xml:space="preserve">3,eff </t>
    </r>
    <r>
      <rPr>
        <sz val="8"/>
        <rFont val="Arial"/>
        <family val="2"/>
      </rPr>
      <t>h</t>
    </r>
    <r>
      <rPr>
        <vertAlign val="subscript"/>
        <sz val="8"/>
        <rFont val="Arial"/>
        <family val="2"/>
      </rPr>
      <t>ef</t>
    </r>
    <r>
      <rPr>
        <sz val="8"/>
        <rFont val="Arial"/>
        <family val="2"/>
      </rPr>
      <t>) ) E</t>
    </r>
    <r>
      <rPr>
        <vertAlign val="subscript"/>
        <sz val="8"/>
        <rFont val="Arial"/>
        <family val="2"/>
      </rPr>
      <t>0,fi</t>
    </r>
    <r>
      <rPr>
        <sz val="8"/>
        <rFont val="Arial"/>
        <family val="2"/>
      </rPr>
      <t xml:space="preserve"> =</t>
    </r>
  </si>
  <si>
    <r>
      <t>f</t>
    </r>
    <r>
      <rPr>
        <vertAlign val="subscript"/>
        <sz val="9"/>
        <rFont val="Arial"/>
        <family val="2"/>
      </rPr>
      <t>m,k</t>
    </r>
    <r>
      <rPr>
        <sz val="9"/>
        <rFont val="Arial"/>
        <family val="2"/>
      </rPr>
      <t xml:space="preserve"> =</t>
    </r>
  </si>
  <si>
    <t>resistenza caratteristica a flessione</t>
  </si>
  <si>
    <r>
      <t>s</t>
    </r>
    <r>
      <rPr>
        <vertAlign val="subscript"/>
        <sz val="9"/>
        <rFont val="Arial"/>
        <family val="2"/>
      </rPr>
      <t>m,crit</t>
    </r>
    <r>
      <rPr>
        <sz val="9"/>
        <rFont val="Arial"/>
        <family val="2"/>
      </rPr>
      <t xml:space="preserve"> = ( </t>
    </r>
    <r>
      <rPr>
        <sz val="9"/>
        <rFont val="Symbol"/>
        <family val="1"/>
        <charset val="2"/>
      </rPr>
      <t xml:space="preserve">p </t>
    </r>
    <r>
      <rPr>
        <sz val="9"/>
        <rFont val="Arial"/>
        <family val="2"/>
      </rPr>
      <t>b</t>
    </r>
    <r>
      <rPr>
        <vertAlign val="superscript"/>
        <sz val="9"/>
        <rFont val="Arial"/>
        <family val="2"/>
      </rPr>
      <t>2</t>
    </r>
    <r>
      <rPr>
        <sz val="9"/>
        <rFont val="Arial"/>
        <family val="2"/>
      </rPr>
      <t xml:space="preserve"> / (</t>
    </r>
    <r>
      <rPr>
        <sz val="9"/>
        <rFont val="Italic"/>
      </rPr>
      <t>l</t>
    </r>
    <r>
      <rPr>
        <vertAlign val="subscript"/>
        <sz val="9"/>
        <rFont val="Arial"/>
        <family val="2"/>
      </rPr>
      <t xml:space="preserve">3,eff </t>
    </r>
    <r>
      <rPr>
        <sz val="9"/>
        <rFont val="Arial"/>
        <family val="2"/>
      </rPr>
      <t>h) ) E</t>
    </r>
    <r>
      <rPr>
        <vertAlign val="subscript"/>
        <sz val="9"/>
        <rFont val="Arial"/>
        <family val="2"/>
      </rPr>
      <t xml:space="preserve">0,05 </t>
    </r>
    <r>
      <rPr>
        <sz val="9"/>
        <rFont val="Arial"/>
        <family val="2"/>
      </rPr>
      <t>(G</t>
    </r>
    <r>
      <rPr>
        <vertAlign val="subscript"/>
        <sz val="9"/>
        <rFont val="Arial"/>
        <family val="2"/>
      </rPr>
      <t xml:space="preserve">mean </t>
    </r>
    <r>
      <rPr>
        <sz val="9"/>
        <rFont val="Arial"/>
        <family val="2"/>
      </rPr>
      <t>/ E</t>
    </r>
    <r>
      <rPr>
        <vertAlign val="subscript"/>
        <sz val="9"/>
        <rFont val="Arial"/>
        <family val="2"/>
      </rPr>
      <t>mean</t>
    </r>
    <r>
      <rPr>
        <sz val="9"/>
        <rFont val="Arial"/>
        <family val="2"/>
      </rPr>
      <t>)</t>
    </r>
    <r>
      <rPr>
        <vertAlign val="superscript"/>
        <sz val="9"/>
        <rFont val="Arial"/>
        <family val="2"/>
      </rPr>
      <t xml:space="preserve">0,5 </t>
    </r>
    <r>
      <rPr>
        <sz val="9"/>
        <rFont val="Arial"/>
        <family val="2"/>
      </rPr>
      <t>=</t>
    </r>
  </si>
  <si>
    <t>∞</t>
  </si>
  <si>
    <r>
      <t>s</t>
    </r>
    <r>
      <rPr>
        <vertAlign val="subscript"/>
        <sz val="9"/>
        <rFont val="Arial"/>
        <family val="2"/>
      </rPr>
      <t>m,crit</t>
    </r>
    <r>
      <rPr>
        <sz val="9"/>
        <rFont val="Arial"/>
        <family val="2"/>
      </rPr>
      <t xml:space="preserve"> = 0,78</t>
    </r>
    <r>
      <rPr>
        <sz val="9"/>
        <rFont val="Symbol"/>
        <family val="1"/>
        <charset val="2"/>
      </rPr>
      <t xml:space="preserve"> </t>
    </r>
    <r>
      <rPr>
        <sz val="9"/>
        <rFont val="Arial"/>
        <family val="2"/>
      </rPr>
      <t>b</t>
    </r>
    <r>
      <rPr>
        <vertAlign val="superscript"/>
        <sz val="9"/>
        <rFont val="Arial"/>
        <family val="2"/>
      </rPr>
      <t>2</t>
    </r>
    <r>
      <rPr>
        <sz val="9"/>
        <rFont val="Arial"/>
        <family val="2"/>
      </rPr>
      <t xml:space="preserve"> / (</t>
    </r>
    <r>
      <rPr>
        <sz val="9"/>
        <rFont val="Italic"/>
      </rPr>
      <t>l</t>
    </r>
    <r>
      <rPr>
        <vertAlign val="subscript"/>
        <sz val="9"/>
        <rFont val="Arial"/>
        <family val="2"/>
      </rPr>
      <t xml:space="preserve">3,eff </t>
    </r>
    <r>
      <rPr>
        <sz val="9"/>
        <rFont val="Arial"/>
        <family val="2"/>
      </rPr>
      <t>h) ) E</t>
    </r>
    <r>
      <rPr>
        <vertAlign val="subscript"/>
        <sz val="9"/>
        <rFont val="Arial"/>
        <family val="2"/>
      </rPr>
      <t>0,05</t>
    </r>
    <r>
      <rPr>
        <sz val="9"/>
        <rFont val="Arial"/>
        <family val="2"/>
      </rPr>
      <t xml:space="preserve"> =</t>
    </r>
  </si>
  <si>
    <t>tensione di flessione critica</t>
  </si>
  <si>
    <t>lunghezza efficace</t>
  </si>
  <si>
    <r>
      <t>E</t>
    </r>
    <r>
      <rPr>
        <vertAlign val="subscript"/>
        <sz val="9"/>
        <rFont val="Arial"/>
        <family val="2"/>
      </rPr>
      <t>0,05</t>
    </r>
    <r>
      <rPr>
        <sz val="9"/>
        <rFont val="Arial"/>
        <family val="2"/>
      </rPr>
      <t xml:space="preserve"> =</t>
    </r>
  </si>
  <si>
    <t>modulo elastico parallelo caratteristico</t>
  </si>
  <si>
    <r>
      <t>G</t>
    </r>
    <r>
      <rPr>
        <vertAlign val="subscript"/>
        <sz val="9"/>
        <rFont val="Arial"/>
        <family val="2"/>
      </rPr>
      <t>mean</t>
    </r>
    <r>
      <rPr>
        <sz val="9"/>
        <rFont val="Arial"/>
        <family val="2"/>
      </rPr>
      <t xml:space="preserve"> =</t>
    </r>
  </si>
  <si>
    <r>
      <t>E</t>
    </r>
    <r>
      <rPr>
        <vertAlign val="subscript"/>
        <sz val="9"/>
        <rFont val="Arial"/>
        <family val="2"/>
      </rPr>
      <t>mean</t>
    </r>
    <r>
      <rPr>
        <sz val="9"/>
        <rFont val="Arial"/>
        <family val="2"/>
      </rPr>
      <t xml:space="preserve"> =</t>
    </r>
  </si>
  <si>
    <t>modulo elastico parallelo medio</t>
  </si>
  <si>
    <r>
      <t>Calcolo del coefficiente di compressione ortogonale k</t>
    </r>
    <r>
      <rPr>
        <b/>
        <vertAlign val="subscript"/>
        <sz val="9"/>
        <rFont val="Arial"/>
        <family val="2"/>
      </rPr>
      <t>c,90</t>
    </r>
  </si>
  <si>
    <r>
      <t>l</t>
    </r>
    <r>
      <rPr>
        <vertAlign val="subscript"/>
        <sz val="10"/>
        <rFont val="Arial"/>
        <family val="2"/>
      </rPr>
      <t xml:space="preserve">,app-calcolo </t>
    </r>
    <r>
      <rPr>
        <sz val="10"/>
        <rFont val="Arial"/>
        <family val="2"/>
      </rPr>
      <t>=</t>
    </r>
  </si>
  <si>
    <t>parametri</t>
  </si>
  <si>
    <t>carico uniforme</t>
  </si>
  <si>
    <t>carico concentrato</t>
  </si>
  <si>
    <r>
      <t>k</t>
    </r>
    <r>
      <rPr>
        <vertAlign val="subscript"/>
        <sz val="9"/>
        <rFont val="Arial"/>
        <family val="2"/>
      </rPr>
      <t>c,90</t>
    </r>
    <r>
      <rPr>
        <sz val="9"/>
        <rFont val="Arial"/>
        <family val="2"/>
      </rPr>
      <t xml:space="preserve"> =</t>
    </r>
  </si>
  <si>
    <t>l =</t>
  </si>
  <si>
    <t>[m]</t>
  </si>
  <si>
    <r>
      <t>q</t>
    </r>
    <r>
      <rPr>
        <vertAlign val="subscript"/>
        <sz val="8"/>
        <rFont val="Arial"/>
        <family val="2"/>
      </rPr>
      <t>SLU</t>
    </r>
    <r>
      <rPr>
        <sz val="8"/>
        <rFont val="Arial"/>
        <family val="2"/>
      </rPr>
      <t xml:space="preserve"> =</t>
    </r>
  </si>
  <si>
    <r>
      <t>[kN/m</t>
    </r>
    <r>
      <rPr>
        <vertAlign val="superscript"/>
        <sz val="8"/>
        <rFont val="Arial"/>
        <family val="2"/>
      </rPr>
      <t>2</t>
    </r>
    <r>
      <rPr>
        <sz val="8"/>
        <rFont val="Arial"/>
        <family val="2"/>
      </rPr>
      <t>]</t>
    </r>
  </si>
  <si>
    <r>
      <t>F</t>
    </r>
    <r>
      <rPr>
        <vertAlign val="subscript"/>
        <sz val="8"/>
        <rFont val="Arial"/>
        <family val="2"/>
      </rPr>
      <t>SLU</t>
    </r>
    <r>
      <rPr>
        <sz val="8"/>
        <rFont val="Arial"/>
        <family val="2"/>
      </rPr>
      <t xml:space="preserve"> =</t>
    </r>
  </si>
  <si>
    <r>
      <t>[kN</t>
    </r>
    <r>
      <rPr>
        <sz val="8"/>
        <rFont val="Arial"/>
        <family val="2"/>
      </rPr>
      <t>]</t>
    </r>
  </si>
  <si>
    <t>E =</t>
  </si>
  <si>
    <r>
      <t>q</t>
    </r>
    <r>
      <rPr>
        <vertAlign val="subscript"/>
        <sz val="8"/>
        <rFont val="Arial"/>
        <family val="2"/>
      </rPr>
      <t>SLE</t>
    </r>
    <r>
      <rPr>
        <sz val="8"/>
        <rFont val="Arial"/>
        <family val="2"/>
      </rPr>
      <t xml:space="preserve"> =</t>
    </r>
  </si>
  <si>
    <r>
      <t>F</t>
    </r>
    <r>
      <rPr>
        <vertAlign val="subscript"/>
        <sz val="8"/>
        <rFont val="Arial"/>
        <family val="2"/>
      </rPr>
      <t>SLE</t>
    </r>
    <r>
      <rPr>
        <sz val="8"/>
        <rFont val="Arial"/>
        <family val="2"/>
      </rPr>
      <t xml:space="preserve"> =</t>
    </r>
  </si>
  <si>
    <t>Verifica di resistenza a flessione</t>
  </si>
  <si>
    <r>
      <t>J</t>
    </r>
    <r>
      <rPr>
        <vertAlign val="subscript"/>
        <sz val="8"/>
        <rFont val="Arial"/>
        <family val="2"/>
      </rPr>
      <t>y</t>
    </r>
    <r>
      <rPr>
        <sz val="8"/>
        <rFont val="Arial"/>
        <family val="2"/>
      </rPr>
      <t xml:space="preserve"> =</t>
    </r>
  </si>
  <si>
    <t>[m4]</t>
  </si>
  <si>
    <r>
      <t>j</t>
    </r>
    <r>
      <rPr>
        <vertAlign val="subscript"/>
        <sz val="8"/>
        <rFont val="Arial"/>
        <family val="2"/>
      </rPr>
      <t>A,y</t>
    </r>
    <r>
      <rPr>
        <sz val="8"/>
        <rFont val="Arial"/>
        <family val="2"/>
      </rPr>
      <t xml:space="preserve"> =</t>
    </r>
  </si>
  <si>
    <t>[rad]</t>
  </si>
  <si>
    <t>a =</t>
  </si>
  <si>
    <r>
      <t xml:space="preserve">h = s </t>
    </r>
    <r>
      <rPr>
        <vertAlign val="subscript"/>
        <sz val="9"/>
        <rFont val="Arial"/>
        <family val="2"/>
      </rPr>
      <t>m,2,d</t>
    </r>
    <r>
      <rPr>
        <sz val="9"/>
        <rFont val="Arial"/>
        <family val="2"/>
      </rPr>
      <t xml:space="preserve"> / f</t>
    </r>
    <r>
      <rPr>
        <vertAlign val="subscript"/>
        <sz val="9"/>
        <rFont val="Arial"/>
        <family val="2"/>
      </rPr>
      <t>m,d</t>
    </r>
    <r>
      <rPr>
        <sz val="9"/>
        <rFont val="Arial"/>
        <family val="2"/>
      </rPr>
      <t xml:space="preserve"> </t>
    </r>
    <r>
      <rPr>
        <sz val="9"/>
        <rFont val="Symbol"/>
        <family val="1"/>
        <charset val="2"/>
      </rPr>
      <t>£</t>
    </r>
    <r>
      <rPr>
        <sz val="9"/>
        <rFont val="Arial"/>
        <family val="2"/>
      </rPr>
      <t xml:space="preserve"> 1</t>
    </r>
  </si>
  <si>
    <r>
      <t>J</t>
    </r>
    <r>
      <rPr>
        <vertAlign val="subscript"/>
        <sz val="8"/>
        <rFont val="Arial"/>
        <family val="2"/>
      </rPr>
      <t>z</t>
    </r>
    <r>
      <rPr>
        <sz val="8"/>
        <rFont val="Arial"/>
        <family val="2"/>
      </rPr>
      <t xml:space="preserve"> =</t>
    </r>
  </si>
  <si>
    <r>
      <t>j</t>
    </r>
    <r>
      <rPr>
        <vertAlign val="subscript"/>
        <sz val="8"/>
        <rFont val="Arial"/>
        <family val="2"/>
      </rPr>
      <t>B,y</t>
    </r>
    <r>
      <rPr>
        <sz val="8"/>
        <rFont val="Arial"/>
        <family val="2"/>
      </rPr>
      <t xml:space="preserve"> =</t>
    </r>
  </si>
  <si>
    <t>G =</t>
  </si>
  <si>
    <r>
      <t>j</t>
    </r>
    <r>
      <rPr>
        <vertAlign val="subscript"/>
        <sz val="8"/>
        <rFont val="Arial"/>
        <family val="2"/>
      </rPr>
      <t>A,z</t>
    </r>
    <r>
      <rPr>
        <sz val="8"/>
        <rFont val="Arial"/>
        <family val="2"/>
      </rPr>
      <t xml:space="preserve"> =</t>
    </r>
  </si>
  <si>
    <t>Verifica di stabilità (svergolamento)</t>
  </si>
  <si>
    <t>A =</t>
  </si>
  <si>
    <t>[m2]</t>
  </si>
  <si>
    <r>
      <t>j</t>
    </r>
    <r>
      <rPr>
        <vertAlign val="subscript"/>
        <sz val="8"/>
        <rFont val="Arial"/>
        <family val="2"/>
      </rPr>
      <t>B,z</t>
    </r>
    <r>
      <rPr>
        <sz val="8"/>
        <rFont val="Arial"/>
        <family val="2"/>
      </rPr>
      <t xml:space="preserve"> =</t>
    </r>
  </si>
  <si>
    <r>
      <t xml:space="preserve">h = s </t>
    </r>
    <r>
      <rPr>
        <vertAlign val="subscript"/>
        <sz val="9"/>
        <rFont val="Arial"/>
        <family val="2"/>
      </rPr>
      <t>m,2,d</t>
    </r>
    <r>
      <rPr>
        <sz val="9"/>
        <rFont val="Arial"/>
        <family val="2"/>
      </rPr>
      <t xml:space="preserve"> / (k</t>
    </r>
    <r>
      <rPr>
        <vertAlign val="subscript"/>
        <sz val="9"/>
        <rFont val="Arial"/>
        <family val="2"/>
      </rPr>
      <t xml:space="preserve">crit * </t>
    </r>
    <r>
      <rPr>
        <sz val="9"/>
        <rFont val="Arial"/>
        <family val="2"/>
      </rPr>
      <t>f</t>
    </r>
    <r>
      <rPr>
        <vertAlign val="subscript"/>
        <sz val="9"/>
        <rFont val="Arial"/>
        <family val="2"/>
      </rPr>
      <t>m,d</t>
    </r>
    <r>
      <rPr>
        <sz val="9"/>
        <rFont val="Arial"/>
        <family val="2"/>
      </rPr>
      <t xml:space="preserve">) </t>
    </r>
    <r>
      <rPr>
        <sz val="9"/>
        <rFont val="Symbol"/>
        <family val="1"/>
        <charset val="2"/>
      </rPr>
      <t>£</t>
    </r>
    <r>
      <rPr>
        <sz val="9"/>
        <rFont val="Arial"/>
        <family val="2"/>
      </rPr>
      <t xml:space="preserve"> 1</t>
    </r>
  </si>
  <si>
    <r>
      <t>c</t>
    </r>
    <r>
      <rPr>
        <sz val="8"/>
        <rFont val="Arial"/>
        <family val="2"/>
      </rPr>
      <t xml:space="preserve"> =</t>
    </r>
  </si>
  <si>
    <r>
      <t>a</t>
    </r>
    <r>
      <rPr>
        <sz val="8"/>
        <rFont val="Arial"/>
        <family val="2"/>
      </rPr>
      <t xml:space="preserve"> =</t>
    </r>
  </si>
  <si>
    <t>[°]</t>
  </si>
  <si>
    <t>B =</t>
  </si>
  <si>
    <r>
      <t>A</t>
    </r>
    <r>
      <rPr>
        <vertAlign val="subscript"/>
        <sz val="8"/>
        <rFont val="Arial"/>
        <family val="2"/>
      </rPr>
      <t>1</t>
    </r>
    <r>
      <rPr>
        <sz val="8"/>
        <rFont val="Arial"/>
        <family val="2"/>
      </rPr>
      <t xml:space="preserve"> =</t>
    </r>
  </si>
  <si>
    <t>Verifica di resistenza a taglio</t>
  </si>
  <si>
    <r>
      <t>B</t>
    </r>
    <r>
      <rPr>
        <vertAlign val="subscript"/>
        <sz val="8"/>
        <rFont val="Arial"/>
        <family val="2"/>
      </rPr>
      <t>1</t>
    </r>
    <r>
      <rPr>
        <sz val="8"/>
        <rFont val="Arial"/>
        <family val="2"/>
      </rPr>
      <t xml:space="preserve"> =</t>
    </r>
  </si>
  <si>
    <r>
      <t>h = t</t>
    </r>
    <r>
      <rPr>
        <vertAlign val="subscript"/>
        <sz val="9"/>
        <rFont val="Arial"/>
        <family val="2"/>
      </rPr>
      <t xml:space="preserve">d </t>
    </r>
    <r>
      <rPr>
        <sz val="9"/>
        <rFont val="Arial"/>
        <family val="2"/>
      </rPr>
      <t>/ f</t>
    </r>
    <r>
      <rPr>
        <vertAlign val="subscript"/>
        <sz val="9"/>
        <rFont val="Arial"/>
        <family val="2"/>
      </rPr>
      <t>v,d</t>
    </r>
    <r>
      <rPr>
        <sz val="9"/>
        <rFont val="Arial"/>
        <family val="2"/>
      </rPr>
      <t xml:space="preserve"> </t>
    </r>
    <r>
      <rPr>
        <sz val="9"/>
        <rFont val="Symbol"/>
        <family val="1"/>
        <charset val="2"/>
      </rPr>
      <t>£</t>
    </r>
    <r>
      <rPr>
        <sz val="9"/>
        <rFont val="Arial"/>
        <family val="2"/>
      </rPr>
      <t xml:space="preserve"> 1 </t>
    </r>
  </si>
  <si>
    <r>
      <t>A</t>
    </r>
    <r>
      <rPr>
        <vertAlign val="subscript"/>
        <sz val="8"/>
        <rFont val="Arial"/>
        <family val="2"/>
      </rPr>
      <t>2</t>
    </r>
    <r>
      <rPr>
        <sz val="8"/>
        <rFont val="Arial"/>
        <family val="2"/>
      </rPr>
      <t xml:space="preserve"> =</t>
    </r>
  </si>
  <si>
    <r>
      <t>B</t>
    </r>
    <r>
      <rPr>
        <vertAlign val="subscript"/>
        <sz val="8"/>
        <rFont val="Arial"/>
        <family val="2"/>
      </rPr>
      <t>2,z</t>
    </r>
    <r>
      <rPr>
        <sz val="8"/>
        <rFont val="Arial"/>
        <family val="2"/>
      </rPr>
      <t xml:space="preserve"> =</t>
    </r>
  </si>
  <si>
    <t>Verifica a compressione all'appoggio</t>
  </si>
  <si>
    <r>
      <t>B</t>
    </r>
    <r>
      <rPr>
        <vertAlign val="subscript"/>
        <sz val="8"/>
        <rFont val="Arial"/>
        <family val="2"/>
      </rPr>
      <t>2,y</t>
    </r>
    <r>
      <rPr>
        <sz val="8"/>
        <rFont val="Arial"/>
        <family val="2"/>
      </rPr>
      <t xml:space="preserve"> =</t>
    </r>
  </si>
  <si>
    <r>
      <t xml:space="preserve">h = s </t>
    </r>
    <r>
      <rPr>
        <vertAlign val="subscript"/>
        <sz val="9"/>
        <rFont val="Arial"/>
        <family val="2"/>
      </rPr>
      <t>c,90,d</t>
    </r>
    <r>
      <rPr>
        <sz val="9"/>
        <rFont val="Arial"/>
        <family val="2"/>
      </rPr>
      <t xml:space="preserve"> / (k</t>
    </r>
    <r>
      <rPr>
        <vertAlign val="subscript"/>
        <sz val="9"/>
        <rFont val="Arial"/>
        <family val="2"/>
      </rPr>
      <t>c,90,d</t>
    </r>
    <r>
      <rPr>
        <sz val="9"/>
        <rFont val="Arial"/>
        <family val="2"/>
      </rPr>
      <t xml:space="preserve"> f</t>
    </r>
    <r>
      <rPr>
        <vertAlign val="subscript"/>
        <sz val="9"/>
        <rFont val="Arial"/>
        <family val="2"/>
      </rPr>
      <t>c,90,d</t>
    </r>
    <r>
      <rPr>
        <sz val="9"/>
        <rFont val="Arial"/>
        <family val="2"/>
      </rPr>
      <t xml:space="preserve"> ) </t>
    </r>
    <r>
      <rPr>
        <sz val="9"/>
        <rFont val="Symbol"/>
        <family val="1"/>
        <charset val="2"/>
      </rPr>
      <t>£</t>
    </r>
    <r>
      <rPr>
        <sz val="9"/>
        <rFont val="Arial"/>
        <family val="2"/>
      </rPr>
      <t xml:space="preserve"> 1</t>
    </r>
  </si>
  <si>
    <t>carico unitario</t>
  </si>
  <si>
    <t>combinazioni di carico</t>
  </si>
  <si>
    <t>contatore</t>
  </si>
  <si>
    <t>posizione</t>
  </si>
  <si>
    <t>M (x) kNm</t>
  </si>
  <si>
    <t>V (x) kN</t>
  </si>
  <si>
    <r>
      <t>h</t>
    </r>
    <r>
      <rPr>
        <vertAlign val="subscript"/>
        <sz val="8"/>
        <rFont val="Arial"/>
        <family val="2"/>
      </rPr>
      <t>z</t>
    </r>
    <r>
      <rPr>
        <sz val="8"/>
        <rFont val="Arial"/>
        <family val="2"/>
      </rPr>
      <t xml:space="preserve"> (x) mm</t>
    </r>
  </si>
  <si>
    <r>
      <t>h</t>
    </r>
    <r>
      <rPr>
        <vertAlign val="subscript"/>
        <sz val="8"/>
        <rFont val="Arial"/>
        <family val="2"/>
      </rPr>
      <t>y</t>
    </r>
    <r>
      <rPr>
        <sz val="8"/>
        <rFont val="Arial"/>
        <family val="2"/>
      </rPr>
      <t xml:space="preserve"> (x) mm</t>
    </r>
  </si>
  <si>
    <t>Verifica della freccia di inflessione</t>
  </si>
  <si>
    <r>
      <t>Controfreccia:                       u</t>
    </r>
    <r>
      <rPr>
        <vertAlign val="subscript"/>
        <sz val="9"/>
        <rFont val="Arial"/>
        <family val="2"/>
      </rPr>
      <t>0</t>
    </r>
    <r>
      <rPr>
        <sz val="9"/>
        <rFont val="Arial"/>
        <family val="2"/>
      </rPr>
      <t xml:space="preserve"> =</t>
    </r>
  </si>
  <si>
    <t>Valori di deformata &gt;0 se verso il basso</t>
  </si>
  <si>
    <t>Componenti della freccia di inflessione:</t>
  </si>
  <si>
    <r>
      <t>u</t>
    </r>
    <r>
      <rPr>
        <vertAlign val="subscript"/>
        <sz val="9"/>
        <rFont val="Arial"/>
        <family val="2"/>
      </rPr>
      <t>1</t>
    </r>
  </si>
  <si>
    <t>freccia dovuta ai carichi permanenti</t>
  </si>
  <si>
    <r>
      <t>u</t>
    </r>
    <r>
      <rPr>
        <vertAlign val="subscript"/>
        <sz val="9"/>
        <rFont val="Arial"/>
        <family val="2"/>
      </rPr>
      <t>2</t>
    </r>
  </si>
  <si>
    <t>freccia dovuta ai carichi variabili</t>
  </si>
  <si>
    <r>
      <t>u</t>
    </r>
    <r>
      <rPr>
        <vertAlign val="subscript"/>
        <sz val="9"/>
        <rFont val="Arial"/>
        <family val="2"/>
      </rPr>
      <t>net</t>
    </r>
    <r>
      <rPr>
        <sz val="9"/>
        <rFont val="Arial"/>
        <family val="2"/>
      </rPr>
      <t xml:space="preserve"> = u</t>
    </r>
    <r>
      <rPr>
        <vertAlign val="subscript"/>
        <sz val="9"/>
        <rFont val="Arial"/>
        <family val="2"/>
      </rPr>
      <t>1</t>
    </r>
    <r>
      <rPr>
        <sz val="9"/>
        <rFont val="Arial"/>
        <family val="2"/>
      </rPr>
      <t xml:space="preserve"> + u</t>
    </r>
    <r>
      <rPr>
        <vertAlign val="subscript"/>
        <sz val="9"/>
        <rFont val="Arial"/>
        <family val="2"/>
      </rPr>
      <t>2</t>
    </r>
    <r>
      <rPr>
        <sz val="9"/>
        <rFont val="Arial"/>
        <family val="2"/>
      </rPr>
      <t xml:space="preserve"> - u</t>
    </r>
    <r>
      <rPr>
        <vertAlign val="subscript"/>
        <sz val="9"/>
        <rFont val="Arial"/>
        <family val="2"/>
      </rPr>
      <t>0</t>
    </r>
  </si>
  <si>
    <t>freccia netta (finale al netto della controfreccia)</t>
  </si>
  <si>
    <r>
      <t>u</t>
    </r>
    <r>
      <rPr>
        <vertAlign val="subscript"/>
        <sz val="9"/>
        <rFont val="Arial"/>
        <family val="2"/>
      </rPr>
      <t>fin</t>
    </r>
    <r>
      <rPr>
        <sz val="9"/>
        <rFont val="Arial"/>
        <family val="2"/>
      </rPr>
      <t xml:space="preserve"> = u</t>
    </r>
    <r>
      <rPr>
        <vertAlign val="subscript"/>
        <sz val="9"/>
        <rFont val="Arial"/>
        <family val="2"/>
      </rPr>
      <t>1</t>
    </r>
    <r>
      <rPr>
        <sz val="9"/>
        <rFont val="Arial"/>
        <family val="2"/>
      </rPr>
      <t xml:space="preserve"> + u</t>
    </r>
    <r>
      <rPr>
        <vertAlign val="subscript"/>
        <sz val="9"/>
        <rFont val="Arial"/>
        <family val="2"/>
      </rPr>
      <t>2</t>
    </r>
  </si>
  <si>
    <t>freccia finale (o freccia totale)</t>
  </si>
  <si>
    <r>
      <t>u</t>
    </r>
    <r>
      <rPr>
        <vertAlign val="subscript"/>
        <sz val="9"/>
        <rFont val="Arial"/>
        <family val="2"/>
      </rPr>
      <t xml:space="preserve">2,ist  </t>
    </r>
    <r>
      <rPr>
        <sz val="9"/>
        <rFont val="Symbol"/>
        <family val="1"/>
        <charset val="2"/>
      </rPr>
      <t xml:space="preserve">£  </t>
    </r>
    <r>
      <rPr>
        <sz val="9"/>
        <rFont val="Italic"/>
      </rPr>
      <t>l</t>
    </r>
    <r>
      <rPr>
        <vertAlign val="subscript"/>
        <sz val="9"/>
        <rFont val="Arial"/>
        <family val="2"/>
      </rPr>
      <t xml:space="preserve"> </t>
    </r>
    <r>
      <rPr>
        <sz val="9"/>
        <rFont val="Arial"/>
        <family val="2"/>
      </rPr>
      <t xml:space="preserve"> </t>
    </r>
    <r>
      <rPr>
        <sz val="9"/>
        <rFont val="Arial"/>
        <family val="2"/>
      </rPr>
      <t>/</t>
    </r>
  </si>
  <si>
    <t>=</t>
  </si>
  <si>
    <t>Limiti:</t>
  </si>
  <si>
    <r>
      <t>u</t>
    </r>
    <r>
      <rPr>
        <vertAlign val="subscript"/>
        <sz val="9"/>
        <rFont val="Arial"/>
        <family val="2"/>
      </rPr>
      <t xml:space="preserve">net,fin  </t>
    </r>
    <r>
      <rPr>
        <sz val="9"/>
        <rFont val="Symbol"/>
        <family val="1"/>
        <charset val="2"/>
      </rPr>
      <t xml:space="preserve">£  </t>
    </r>
    <r>
      <rPr>
        <sz val="9"/>
        <rFont val="Italic"/>
      </rPr>
      <t>l</t>
    </r>
    <r>
      <rPr>
        <sz val="9"/>
        <rFont val="Arial"/>
        <family val="2"/>
      </rPr>
      <t xml:space="preserve"> </t>
    </r>
    <r>
      <rPr>
        <sz val="9"/>
        <rFont val="Arial"/>
        <family val="2"/>
      </rPr>
      <t xml:space="preserve"> /</t>
    </r>
  </si>
  <si>
    <r>
      <t>l</t>
    </r>
    <r>
      <rPr>
        <sz val="9"/>
        <rFont val="Arial"/>
        <family val="2"/>
      </rPr>
      <t xml:space="preserve"> =</t>
    </r>
  </si>
  <si>
    <t>Parametri:</t>
  </si>
  <si>
    <t>Classe di servizio della struttura:</t>
  </si>
  <si>
    <r>
      <t>q</t>
    </r>
    <r>
      <rPr>
        <vertAlign val="subscript"/>
        <sz val="9"/>
        <rFont val="Arial"/>
        <family val="2"/>
      </rPr>
      <t>G1k</t>
    </r>
    <r>
      <rPr>
        <sz val="9"/>
        <rFont val="Arial"/>
        <family val="2"/>
      </rPr>
      <t xml:space="preserve"> =</t>
    </r>
  </si>
  <si>
    <t>Coefficienti:</t>
  </si>
  <si>
    <r>
      <t>k</t>
    </r>
    <r>
      <rPr>
        <vertAlign val="subscript"/>
        <sz val="9"/>
        <rFont val="Arial"/>
        <family val="2"/>
      </rPr>
      <t xml:space="preserve">def  </t>
    </r>
    <r>
      <rPr>
        <sz val="9"/>
        <rFont val="Arial"/>
        <family val="2"/>
      </rPr>
      <t>=</t>
    </r>
  </si>
  <si>
    <r>
      <t>q</t>
    </r>
    <r>
      <rPr>
        <vertAlign val="subscript"/>
        <sz val="9"/>
        <rFont val="Arial"/>
        <family val="2"/>
      </rPr>
      <t>G2k</t>
    </r>
    <r>
      <rPr>
        <sz val="9"/>
        <rFont val="Arial"/>
        <family val="2"/>
      </rPr>
      <t xml:space="preserve"> =</t>
    </r>
  </si>
  <si>
    <r>
      <t>Y</t>
    </r>
    <r>
      <rPr>
        <vertAlign val="subscript"/>
        <sz val="9"/>
        <rFont val="Arial"/>
        <family val="2"/>
      </rPr>
      <t>2i</t>
    </r>
    <r>
      <rPr>
        <sz val="9"/>
        <rFont val="Arial"/>
        <family val="2"/>
      </rPr>
      <t xml:space="preserve"> =</t>
    </r>
  </si>
  <si>
    <r>
      <t>q</t>
    </r>
    <r>
      <rPr>
        <vertAlign val="subscript"/>
        <sz val="9"/>
        <rFont val="Arial"/>
        <family val="2"/>
      </rPr>
      <t>Vk</t>
    </r>
    <r>
      <rPr>
        <sz val="9"/>
        <rFont val="Arial"/>
        <family val="2"/>
      </rPr>
      <t xml:space="preserve"> =</t>
    </r>
  </si>
  <si>
    <r>
      <t xml:space="preserve"> P</t>
    </r>
    <r>
      <rPr>
        <b/>
        <vertAlign val="subscript"/>
        <sz val="9"/>
        <rFont val="Arial"/>
        <family val="2"/>
      </rPr>
      <t xml:space="preserve">G1k </t>
    </r>
    <r>
      <rPr>
        <b/>
        <sz val="9"/>
        <rFont val="Arial"/>
        <family val="2"/>
      </rPr>
      <t>=</t>
    </r>
  </si>
  <si>
    <r>
      <t xml:space="preserve"> P</t>
    </r>
    <r>
      <rPr>
        <b/>
        <vertAlign val="subscript"/>
        <sz val="9"/>
        <rFont val="Arial"/>
        <family val="2"/>
      </rPr>
      <t xml:space="preserve">G2k </t>
    </r>
    <r>
      <rPr>
        <b/>
        <sz val="9"/>
        <rFont val="Arial"/>
        <family val="2"/>
      </rPr>
      <t>=</t>
    </r>
  </si>
  <si>
    <r>
      <t xml:space="preserve"> P</t>
    </r>
    <r>
      <rPr>
        <b/>
        <vertAlign val="subscript"/>
        <sz val="9"/>
        <rFont val="Arial"/>
        <family val="2"/>
      </rPr>
      <t xml:space="preserve">Vk </t>
    </r>
    <r>
      <rPr>
        <b/>
        <sz val="9"/>
        <rFont val="Arial"/>
        <family val="2"/>
      </rPr>
      <t>=</t>
    </r>
  </si>
  <si>
    <r>
      <t>Verifica della freccia istantanea u</t>
    </r>
    <r>
      <rPr>
        <b/>
        <vertAlign val="subscript"/>
        <sz val="9"/>
        <rFont val="Arial"/>
        <family val="2"/>
      </rPr>
      <t>2,ist</t>
    </r>
    <r>
      <rPr>
        <b/>
        <sz val="9"/>
        <rFont val="Arial"/>
        <family val="2"/>
      </rPr>
      <t xml:space="preserve"> per i soli carichi variabili</t>
    </r>
  </si>
  <si>
    <r>
      <t>q = q</t>
    </r>
    <r>
      <rPr>
        <vertAlign val="subscript"/>
        <sz val="9"/>
        <rFont val="Arial"/>
        <family val="2"/>
      </rPr>
      <t>Vk</t>
    </r>
    <r>
      <rPr>
        <sz val="9"/>
        <rFont val="Arial"/>
        <family val="2"/>
      </rPr>
      <t xml:space="preserve"> =</t>
    </r>
  </si>
  <si>
    <r>
      <t>P = P</t>
    </r>
    <r>
      <rPr>
        <vertAlign val="subscript"/>
        <sz val="9"/>
        <rFont val="Arial"/>
        <family val="2"/>
      </rPr>
      <t>Vk</t>
    </r>
    <r>
      <rPr>
        <sz val="9"/>
        <rFont val="Arial"/>
        <family val="2"/>
      </rPr>
      <t xml:space="preserve"> =</t>
    </r>
  </si>
  <si>
    <r>
      <t>u</t>
    </r>
    <r>
      <rPr>
        <vertAlign val="subscript"/>
        <sz val="9"/>
        <rFont val="Arial"/>
        <family val="2"/>
      </rPr>
      <t>2,ist</t>
    </r>
    <r>
      <rPr>
        <sz val="9"/>
        <rFont val="Arial"/>
        <family val="2"/>
      </rPr>
      <t xml:space="preserve"> = 5q</t>
    </r>
    <r>
      <rPr>
        <vertAlign val="subscript"/>
        <sz val="9"/>
        <rFont val="Arial"/>
        <family val="2"/>
      </rPr>
      <t xml:space="preserve"> </t>
    </r>
    <r>
      <rPr>
        <sz val="9"/>
        <rFont val="Italic"/>
      </rPr>
      <t>l</t>
    </r>
    <r>
      <rPr>
        <vertAlign val="superscript"/>
        <sz val="9"/>
        <rFont val="Italic"/>
      </rPr>
      <t>4</t>
    </r>
    <r>
      <rPr>
        <vertAlign val="subscript"/>
        <sz val="9"/>
        <rFont val="Arial"/>
        <family val="2"/>
      </rPr>
      <t xml:space="preserve"> </t>
    </r>
    <r>
      <rPr>
        <sz val="9"/>
        <rFont val="Arial"/>
        <family val="2"/>
      </rPr>
      <t>/ (384</t>
    </r>
    <r>
      <rPr>
        <vertAlign val="subscript"/>
        <sz val="9"/>
        <rFont val="Arial"/>
        <family val="2"/>
      </rPr>
      <t xml:space="preserve"> </t>
    </r>
    <r>
      <rPr>
        <sz val="9"/>
        <rFont val="Arial"/>
        <family val="2"/>
      </rPr>
      <t>E</t>
    </r>
    <r>
      <rPr>
        <vertAlign val="subscript"/>
        <sz val="9"/>
        <rFont val="Arial"/>
        <family val="2"/>
      </rPr>
      <t xml:space="preserve">0,mean </t>
    </r>
    <r>
      <rPr>
        <sz val="9"/>
        <rFont val="Arial"/>
        <family val="2"/>
      </rPr>
      <t>J</t>
    </r>
    <r>
      <rPr>
        <vertAlign val="subscript"/>
        <sz val="9"/>
        <rFont val="Arial"/>
        <family val="2"/>
      </rPr>
      <t>22</t>
    </r>
    <r>
      <rPr>
        <sz val="9"/>
        <rFont val="Arial"/>
        <family val="2"/>
      </rPr>
      <t>) + 1,2</t>
    </r>
    <r>
      <rPr>
        <vertAlign val="subscript"/>
        <sz val="9"/>
        <rFont val="Arial"/>
        <family val="2"/>
      </rPr>
      <t xml:space="preserve"> </t>
    </r>
    <r>
      <rPr>
        <sz val="9"/>
        <rFont val="Arial"/>
        <family val="2"/>
      </rPr>
      <t>q</t>
    </r>
    <r>
      <rPr>
        <vertAlign val="subscript"/>
        <sz val="9"/>
        <rFont val="Arial"/>
        <family val="2"/>
      </rPr>
      <t xml:space="preserve"> </t>
    </r>
    <r>
      <rPr>
        <sz val="9"/>
        <rFont val="Italic"/>
      </rPr>
      <t>l</t>
    </r>
    <r>
      <rPr>
        <vertAlign val="superscript"/>
        <sz val="9"/>
        <rFont val="Arial"/>
        <family val="2"/>
      </rPr>
      <t>2</t>
    </r>
    <r>
      <rPr>
        <sz val="9"/>
        <rFont val="Arial"/>
        <family val="2"/>
      </rPr>
      <t xml:space="preserve"> / (8</t>
    </r>
    <r>
      <rPr>
        <vertAlign val="subscript"/>
        <sz val="9"/>
        <rFont val="Arial"/>
        <family val="2"/>
      </rPr>
      <t xml:space="preserve"> </t>
    </r>
    <r>
      <rPr>
        <sz val="9"/>
        <rFont val="Arial"/>
        <family val="2"/>
      </rPr>
      <t>G</t>
    </r>
    <r>
      <rPr>
        <vertAlign val="subscript"/>
        <sz val="9"/>
        <rFont val="Arial"/>
        <family val="2"/>
      </rPr>
      <t xml:space="preserve">mean </t>
    </r>
    <r>
      <rPr>
        <sz val="9"/>
        <rFont val="Arial"/>
        <family val="2"/>
      </rPr>
      <t xml:space="preserve">A) + P </t>
    </r>
    <r>
      <rPr>
        <sz val="9"/>
        <rFont val="Italic"/>
      </rPr>
      <t>l</t>
    </r>
    <r>
      <rPr>
        <vertAlign val="superscript"/>
        <sz val="9"/>
        <rFont val="Arial"/>
        <family val="2"/>
      </rPr>
      <t xml:space="preserve">3 </t>
    </r>
    <r>
      <rPr>
        <sz val="9"/>
        <rFont val="Arial"/>
        <family val="2"/>
      </rPr>
      <t>/ (48 E</t>
    </r>
    <r>
      <rPr>
        <vertAlign val="subscript"/>
        <sz val="9"/>
        <rFont val="Arial"/>
        <family val="2"/>
      </rPr>
      <t>0,mean</t>
    </r>
    <r>
      <rPr>
        <sz val="9"/>
        <rFont val="Arial"/>
        <family val="2"/>
      </rPr>
      <t xml:space="preserve"> J</t>
    </r>
    <r>
      <rPr>
        <vertAlign val="subscript"/>
        <sz val="9"/>
        <rFont val="Arial"/>
        <family val="2"/>
      </rPr>
      <t>22</t>
    </r>
    <r>
      <rPr>
        <sz val="9"/>
        <rFont val="Arial"/>
        <family val="2"/>
      </rPr>
      <t xml:space="preserve">) </t>
    </r>
    <r>
      <rPr>
        <sz val="9"/>
        <rFont val="Arial"/>
        <family val="2"/>
      </rPr>
      <t xml:space="preserve">= </t>
    </r>
  </si>
  <si>
    <r>
      <t>η = u</t>
    </r>
    <r>
      <rPr>
        <vertAlign val="subscript"/>
        <sz val="10"/>
        <rFont val="Arial"/>
        <family val="2"/>
      </rPr>
      <t>2,ist</t>
    </r>
    <r>
      <rPr>
        <sz val="10"/>
        <rFont val="Arial"/>
        <family val="2"/>
      </rPr>
      <t xml:space="preserve"> / u</t>
    </r>
    <r>
      <rPr>
        <vertAlign val="subscript"/>
        <sz val="10"/>
        <rFont val="Arial"/>
        <family val="2"/>
      </rPr>
      <t>2,ist,lim</t>
    </r>
  </si>
  <si>
    <r>
      <t>Verifica della freccia netta finale u</t>
    </r>
    <r>
      <rPr>
        <b/>
        <vertAlign val="subscript"/>
        <sz val="9"/>
        <rFont val="Arial"/>
        <family val="2"/>
      </rPr>
      <t>net,fin</t>
    </r>
  </si>
  <si>
    <r>
      <t>q = (q</t>
    </r>
    <r>
      <rPr>
        <vertAlign val="subscript"/>
        <sz val="9"/>
        <rFont val="Arial"/>
        <family val="2"/>
      </rPr>
      <t>G1k</t>
    </r>
    <r>
      <rPr>
        <sz val="9"/>
        <rFont val="Arial"/>
        <family val="2"/>
      </rPr>
      <t xml:space="preserve"> + q</t>
    </r>
    <r>
      <rPr>
        <vertAlign val="subscript"/>
        <sz val="9"/>
        <rFont val="Arial"/>
        <family val="2"/>
      </rPr>
      <t>G2k</t>
    </r>
    <r>
      <rPr>
        <sz val="9"/>
        <rFont val="Arial"/>
        <family val="2"/>
      </rPr>
      <t xml:space="preserve">) </t>
    </r>
    <r>
      <rPr>
        <vertAlign val="subscript"/>
        <sz val="9"/>
        <rFont val="Arial"/>
        <family val="2"/>
      </rPr>
      <t>*</t>
    </r>
    <r>
      <rPr>
        <sz val="9"/>
        <rFont val="Arial"/>
        <family val="2"/>
      </rPr>
      <t xml:space="preserve"> (1 + k</t>
    </r>
    <r>
      <rPr>
        <vertAlign val="subscript"/>
        <sz val="9"/>
        <rFont val="Arial"/>
        <family val="2"/>
      </rPr>
      <t xml:space="preserve">def </t>
    </r>
    <r>
      <rPr>
        <sz val="9"/>
        <rFont val="Arial"/>
        <family val="2"/>
      </rPr>
      <t>) + q</t>
    </r>
    <r>
      <rPr>
        <vertAlign val="subscript"/>
        <sz val="9"/>
        <rFont val="Arial"/>
        <family val="2"/>
      </rPr>
      <t>Vk</t>
    </r>
    <r>
      <rPr>
        <sz val="9"/>
        <rFont val="Arial"/>
        <family val="2"/>
      </rPr>
      <t xml:space="preserve"> </t>
    </r>
    <r>
      <rPr>
        <vertAlign val="subscript"/>
        <sz val="9"/>
        <rFont val="Arial"/>
        <family val="2"/>
      </rPr>
      <t>*</t>
    </r>
    <r>
      <rPr>
        <sz val="9"/>
        <rFont val="Arial"/>
        <family val="2"/>
      </rPr>
      <t xml:space="preserve"> (1+ </t>
    </r>
    <r>
      <rPr>
        <sz val="9"/>
        <rFont val="Symbol"/>
        <family val="1"/>
        <charset val="2"/>
      </rPr>
      <t>Y</t>
    </r>
    <r>
      <rPr>
        <vertAlign val="subscript"/>
        <sz val="9"/>
        <rFont val="Arial"/>
        <family val="2"/>
      </rPr>
      <t>2i</t>
    </r>
    <r>
      <rPr>
        <sz val="9"/>
        <rFont val="Arial"/>
        <family val="2"/>
      </rPr>
      <t xml:space="preserve"> </t>
    </r>
    <r>
      <rPr>
        <vertAlign val="subscript"/>
        <sz val="9"/>
        <rFont val="Arial"/>
        <family val="2"/>
      </rPr>
      <t>*</t>
    </r>
    <r>
      <rPr>
        <sz val="9"/>
        <rFont val="Arial"/>
        <family val="2"/>
      </rPr>
      <t xml:space="preserve"> k</t>
    </r>
    <r>
      <rPr>
        <vertAlign val="subscript"/>
        <sz val="9"/>
        <rFont val="Arial"/>
        <family val="2"/>
      </rPr>
      <t>def</t>
    </r>
    <r>
      <rPr>
        <sz val="9"/>
        <rFont val="Arial"/>
        <family val="2"/>
      </rPr>
      <t>) =</t>
    </r>
  </si>
  <si>
    <r>
      <t>P = (P</t>
    </r>
    <r>
      <rPr>
        <vertAlign val="subscript"/>
        <sz val="9"/>
        <rFont val="Arial"/>
        <family val="2"/>
      </rPr>
      <t>G1k</t>
    </r>
    <r>
      <rPr>
        <sz val="9"/>
        <rFont val="Arial"/>
        <family val="2"/>
      </rPr>
      <t xml:space="preserve"> + P</t>
    </r>
    <r>
      <rPr>
        <vertAlign val="subscript"/>
        <sz val="9"/>
        <rFont val="Arial"/>
        <family val="2"/>
      </rPr>
      <t>G2k</t>
    </r>
    <r>
      <rPr>
        <sz val="9"/>
        <rFont val="Arial"/>
        <family val="2"/>
      </rPr>
      <t xml:space="preserve">) </t>
    </r>
    <r>
      <rPr>
        <vertAlign val="subscript"/>
        <sz val="9"/>
        <rFont val="Arial"/>
        <family val="2"/>
      </rPr>
      <t>*</t>
    </r>
    <r>
      <rPr>
        <sz val="9"/>
        <rFont val="Arial"/>
        <family val="2"/>
      </rPr>
      <t xml:space="preserve"> (1 + k</t>
    </r>
    <r>
      <rPr>
        <vertAlign val="subscript"/>
        <sz val="9"/>
        <rFont val="Arial"/>
        <family val="2"/>
      </rPr>
      <t xml:space="preserve">def </t>
    </r>
    <r>
      <rPr>
        <sz val="9"/>
        <rFont val="Arial"/>
        <family val="2"/>
      </rPr>
      <t>) + P</t>
    </r>
    <r>
      <rPr>
        <vertAlign val="subscript"/>
        <sz val="9"/>
        <rFont val="Arial"/>
        <family val="2"/>
      </rPr>
      <t>Vk</t>
    </r>
    <r>
      <rPr>
        <sz val="9"/>
        <rFont val="Arial"/>
        <family val="2"/>
      </rPr>
      <t xml:space="preserve"> </t>
    </r>
    <r>
      <rPr>
        <vertAlign val="subscript"/>
        <sz val="9"/>
        <rFont val="Arial"/>
        <family val="2"/>
      </rPr>
      <t>*</t>
    </r>
    <r>
      <rPr>
        <sz val="9"/>
        <rFont val="Arial"/>
        <family val="2"/>
      </rPr>
      <t xml:space="preserve"> (1+ </t>
    </r>
    <r>
      <rPr>
        <sz val="9"/>
        <rFont val="Symbol"/>
        <family val="1"/>
        <charset val="2"/>
      </rPr>
      <t>Y</t>
    </r>
    <r>
      <rPr>
        <vertAlign val="subscript"/>
        <sz val="9"/>
        <rFont val="Arial"/>
        <family val="2"/>
      </rPr>
      <t>2i</t>
    </r>
    <r>
      <rPr>
        <sz val="9"/>
        <rFont val="Arial"/>
        <family val="2"/>
      </rPr>
      <t xml:space="preserve"> </t>
    </r>
    <r>
      <rPr>
        <vertAlign val="subscript"/>
        <sz val="9"/>
        <rFont val="Arial"/>
        <family val="2"/>
      </rPr>
      <t>*</t>
    </r>
    <r>
      <rPr>
        <sz val="9"/>
        <rFont val="Arial"/>
        <family val="2"/>
      </rPr>
      <t xml:space="preserve"> k</t>
    </r>
    <r>
      <rPr>
        <vertAlign val="subscript"/>
        <sz val="9"/>
        <rFont val="Arial"/>
        <family val="2"/>
      </rPr>
      <t>def</t>
    </r>
    <r>
      <rPr>
        <sz val="9"/>
        <rFont val="Arial"/>
        <family val="2"/>
      </rPr>
      <t>) =</t>
    </r>
  </si>
  <si>
    <r>
      <t>u</t>
    </r>
    <r>
      <rPr>
        <vertAlign val="subscript"/>
        <sz val="9"/>
        <rFont val="Arial"/>
        <family val="2"/>
      </rPr>
      <t>net,fin</t>
    </r>
    <r>
      <rPr>
        <sz val="9"/>
        <rFont val="Arial"/>
        <family val="2"/>
      </rPr>
      <t xml:space="preserve"> = 5q</t>
    </r>
    <r>
      <rPr>
        <vertAlign val="subscript"/>
        <sz val="9"/>
        <rFont val="Arial"/>
        <family val="2"/>
      </rPr>
      <t xml:space="preserve"> </t>
    </r>
    <r>
      <rPr>
        <sz val="9"/>
        <rFont val="Italic"/>
      </rPr>
      <t>l</t>
    </r>
    <r>
      <rPr>
        <vertAlign val="superscript"/>
        <sz val="9"/>
        <rFont val="Italic"/>
      </rPr>
      <t>4</t>
    </r>
    <r>
      <rPr>
        <vertAlign val="subscript"/>
        <sz val="9"/>
        <rFont val="Arial"/>
        <family val="2"/>
      </rPr>
      <t xml:space="preserve"> </t>
    </r>
    <r>
      <rPr>
        <sz val="9"/>
        <rFont val="Arial"/>
        <family val="2"/>
      </rPr>
      <t>/ (384</t>
    </r>
    <r>
      <rPr>
        <vertAlign val="subscript"/>
        <sz val="9"/>
        <rFont val="Arial"/>
        <family val="2"/>
      </rPr>
      <t xml:space="preserve"> </t>
    </r>
    <r>
      <rPr>
        <sz val="9"/>
        <rFont val="Arial"/>
        <family val="2"/>
      </rPr>
      <t>E</t>
    </r>
    <r>
      <rPr>
        <vertAlign val="subscript"/>
        <sz val="9"/>
        <rFont val="Arial"/>
        <family val="2"/>
      </rPr>
      <t xml:space="preserve">0,mean </t>
    </r>
    <r>
      <rPr>
        <sz val="9"/>
        <rFont val="Arial"/>
        <family val="2"/>
      </rPr>
      <t>J</t>
    </r>
    <r>
      <rPr>
        <vertAlign val="subscript"/>
        <sz val="9"/>
        <rFont val="Arial"/>
        <family val="2"/>
      </rPr>
      <t>22</t>
    </r>
    <r>
      <rPr>
        <sz val="9"/>
        <rFont val="Arial"/>
        <family val="2"/>
      </rPr>
      <t>) + 1,2</t>
    </r>
    <r>
      <rPr>
        <vertAlign val="subscript"/>
        <sz val="9"/>
        <rFont val="Arial"/>
        <family val="2"/>
      </rPr>
      <t xml:space="preserve"> </t>
    </r>
    <r>
      <rPr>
        <sz val="9"/>
        <rFont val="Arial"/>
        <family val="2"/>
      </rPr>
      <t>q</t>
    </r>
    <r>
      <rPr>
        <vertAlign val="subscript"/>
        <sz val="9"/>
        <rFont val="Arial"/>
        <family val="2"/>
      </rPr>
      <t xml:space="preserve"> </t>
    </r>
    <r>
      <rPr>
        <sz val="9"/>
        <rFont val="Italic"/>
      </rPr>
      <t>l</t>
    </r>
    <r>
      <rPr>
        <vertAlign val="superscript"/>
        <sz val="9"/>
        <rFont val="Arial"/>
        <family val="2"/>
      </rPr>
      <t>2</t>
    </r>
    <r>
      <rPr>
        <sz val="9"/>
        <rFont val="Arial"/>
        <family val="2"/>
      </rPr>
      <t xml:space="preserve"> / (8</t>
    </r>
    <r>
      <rPr>
        <vertAlign val="subscript"/>
        <sz val="9"/>
        <rFont val="Arial"/>
        <family val="2"/>
      </rPr>
      <t xml:space="preserve"> </t>
    </r>
    <r>
      <rPr>
        <sz val="9"/>
        <rFont val="Arial"/>
        <family val="2"/>
      </rPr>
      <t>G</t>
    </r>
    <r>
      <rPr>
        <vertAlign val="subscript"/>
        <sz val="9"/>
        <rFont val="Arial"/>
        <family val="2"/>
      </rPr>
      <t xml:space="preserve">mean </t>
    </r>
    <r>
      <rPr>
        <sz val="9"/>
        <rFont val="Arial"/>
        <family val="2"/>
      </rPr>
      <t xml:space="preserve">A) + P </t>
    </r>
    <r>
      <rPr>
        <sz val="9"/>
        <rFont val="Italic"/>
      </rPr>
      <t>l</t>
    </r>
    <r>
      <rPr>
        <vertAlign val="superscript"/>
        <sz val="9"/>
        <rFont val="Arial"/>
        <family val="2"/>
      </rPr>
      <t xml:space="preserve">3 </t>
    </r>
    <r>
      <rPr>
        <sz val="9"/>
        <rFont val="Arial"/>
        <family val="2"/>
      </rPr>
      <t>/ (48 E</t>
    </r>
    <r>
      <rPr>
        <vertAlign val="subscript"/>
        <sz val="9"/>
        <rFont val="Arial"/>
        <family val="2"/>
      </rPr>
      <t>0,mean</t>
    </r>
    <r>
      <rPr>
        <sz val="9"/>
        <rFont val="Arial"/>
        <family val="2"/>
      </rPr>
      <t xml:space="preserve"> J</t>
    </r>
    <r>
      <rPr>
        <vertAlign val="subscript"/>
        <sz val="9"/>
        <rFont val="Arial"/>
        <family val="2"/>
      </rPr>
      <t>22</t>
    </r>
    <r>
      <rPr>
        <sz val="9"/>
        <rFont val="Arial"/>
        <family val="2"/>
      </rPr>
      <t>) - u</t>
    </r>
    <r>
      <rPr>
        <vertAlign val="subscript"/>
        <sz val="9"/>
        <rFont val="Arial"/>
        <family val="2"/>
      </rPr>
      <t>0</t>
    </r>
    <r>
      <rPr>
        <sz val="9"/>
        <rFont val="Arial"/>
        <family val="2"/>
      </rPr>
      <t xml:space="preserve">= </t>
    </r>
  </si>
  <si>
    <r>
      <t>η = u</t>
    </r>
    <r>
      <rPr>
        <vertAlign val="subscript"/>
        <sz val="9"/>
        <rFont val="Arial"/>
        <family val="2"/>
      </rPr>
      <t>net,fin</t>
    </r>
    <r>
      <rPr>
        <sz val="9"/>
        <rFont val="Arial"/>
        <family val="2"/>
      </rPr>
      <t xml:space="preserve"> / u</t>
    </r>
    <r>
      <rPr>
        <vertAlign val="subscript"/>
        <sz val="9"/>
        <rFont val="Arial"/>
        <family val="2"/>
      </rPr>
      <t>net,fin,lim</t>
    </r>
  </si>
  <si>
    <r>
      <t>Verifica della freccia totale finale u</t>
    </r>
    <r>
      <rPr>
        <b/>
        <vertAlign val="subscript"/>
        <sz val="9"/>
        <rFont val="Arial"/>
        <family val="2"/>
      </rPr>
      <t>fin</t>
    </r>
  </si>
  <si>
    <r>
      <t>u</t>
    </r>
    <r>
      <rPr>
        <vertAlign val="subscript"/>
        <sz val="9"/>
        <rFont val="Arial"/>
        <family val="2"/>
      </rPr>
      <t>fin</t>
    </r>
    <r>
      <rPr>
        <sz val="9"/>
        <rFont val="Arial"/>
        <family val="2"/>
      </rPr>
      <t xml:space="preserve"> = 5q</t>
    </r>
    <r>
      <rPr>
        <vertAlign val="subscript"/>
        <sz val="9"/>
        <rFont val="Arial"/>
        <family val="2"/>
      </rPr>
      <t xml:space="preserve"> </t>
    </r>
    <r>
      <rPr>
        <sz val="9"/>
        <rFont val="Italic"/>
      </rPr>
      <t>l</t>
    </r>
    <r>
      <rPr>
        <vertAlign val="superscript"/>
        <sz val="9"/>
        <rFont val="Italic"/>
      </rPr>
      <t>4</t>
    </r>
    <r>
      <rPr>
        <vertAlign val="subscript"/>
        <sz val="9"/>
        <rFont val="Arial"/>
        <family val="2"/>
      </rPr>
      <t xml:space="preserve"> </t>
    </r>
    <r>
      <rPr>
        <sz val="9"/>
        <rFont val="Arial"/>
        <family val="2"/>
      </rPr>
      <t>/ (384</t>
    </r>
    <r>
      <rPr>
        <vertAlign val="subscript"/>
        <sz val="9"/>
        <rFont val="Arial"/>
        <family val="2"/>
      </rPr>
      <t xml:space="preserve"> </t>
    </r>
    <r>
      <rPr>
        <sz val="9"/>
        <rFont val="Arial"/>
        <family val="2"/>
      </rPr>
      <t>E</t>
    </r>
    <r>
      <rPr>
        <vertAlign val="subscript"/>
        <sz val="9"/>
        <rFont val="Arial"/>
        <family val="2"/>
      </rPr>
      <t xml:space="preserve">0,mean </t>
    </r>
    <r>
      <rPr>
        <sz val="9"/>
        <rFont val="Arial"/>
        <family val="2"/>
      </rPr>
      <t>J</t>
    </r>
    <r>
      <rPr>
        <vertAlign val="subscript"/>
        <sz val="9"/>
        <rFont val="Arial"/>
        <family val="2"/>
      </rPr>
      <t>22</t>
    </r>
    <r>
      <rPr>
        <sz val="9"/>
        <rFont val="Arial"/>
        <family val="2"/>
      </rPr>
      <t>) + 1,2</t>
    </r>
    <r>
      <rPr>
        <vertAlign val="subscript"/>
        <sz val="9"/>
        <rFont val="Arial"/>
        <family val="2"/>
      </rPr>
      <t xml:space="preserve"> </t>
    </r>
    <r>
      <rPr>
        <sz val="9"/>
        <rFont val="Arial"/>
        <family val="2"/>
      </rPr>
      <t>q</t>
    </r>
    <r>
      <rPr>
        <vertAlign val="subscript"/>
        <sz val="9"/>
        <rFont val="Arial"/>
        <family val="2"/>
      </rPr>
      <t xml:space="preserve"> </t>
    </r>
    <r>
      <rPr>
        <sz val="9"/>
        <rFont val="Italic"/>
      </rPr>
      <t>l</t>
    </r>
    <r>
      <rPr>
        <vertAlign val="superscript"/>
        <sz val="9"/>
        <rFont val="Arial"/>
        <family val="2"/>
      </rPr>
      <t>2</t>
    </r>
    <r>
      <rPr>
        <sz val="9"/>
        <rFont val="Arial"/>
        <family val="2"/>
      </rPr>
      <t xml:space="preserve"> / (8</t>
    </r>
    <r>
      <rPr>
        <vertAlign val="subscript"/>
        <sz val="9"/>
        <rFont val="Arial"/>
        <family val="2"/>
      </rPr>
      <t xml:space="preserve"> </t>
    </r>
    <r>
      <rPr>
        <sz val="9"/>
        <rFont val="Arial"/>
        <family val="2"/>
      </rPr>
      <t>G</t>
    </r>
    <r>
      <rPr>
        <vertAlign val="subscript"/>
        <sz val="9"/>
        <rFont val="Arial"/>
        <family val="2"/>
      </rPr>
      <t xml:space="preserve">mean </t>
    </r>
    <r>
      <rPr>
        <sz val="9"/>
        <rFont val="Arial"/>
        <family val="2"/>
      </rPr>
      <t xml:space="preserve">A) + P </t>
    </r>
    <r>
      <rPr>
        <sz val="9"/>
        <rFont val="Italic"/>
      </rPr>
      <t>l</t>
    </r>
    <r>
      <rPr>
        <vertAlign val="superscript"/>
        <sz val="9"/>
        <rFont val="Arial"/>
        <family val="2"/>
      </rPr>
      <t xml:space="preserve">3 </t>
    </r>
    <r>
      <rPr>
        <sz val="9"/>
        <rFont val="Arial"/>
        <family val="2"/>
      </rPr>
      <t>/ (48 E</t>
    </r>
    <r>
      <rPr>
        <vertAlign val="subscript"/>
        <sz val="9"/>
        <rFont val="Arial"/>
        <family val="2"/>
      </rPr>
      <t>0,mean</t>
    </r>
    <r>
      <rPr>
        <sz val="9"/>
        <rFont val="Arial"/>
        <family val="2"/>
      </rPr>
      <t xml:space="preserve"> J</t>
    </r>
    <r>
      <rPr>
        <vertAlign val="subscript"/>
        <sz val="9"/>
        <rFont val="Arial"/>
        <family val="2"/>
      </rPr>
      <t>22</t>
    </r>
    <r>
      <rPr>
        <sz val="9"/>
        <rFont val="Arial"/>
        <family val="2"/>
      </rPr>
      <t xml:space="preserve">) = </t>
    </r>
  </si>
  <si>
    <r>
      <t>η = u</t>
    </r>
    <r>
      <rPr>
        <vertAlign val="subscript"/>
        <sz val="9"/>
        <rFont val="Arial"/>
        <family val="2"/>
      </rPr>
      <t>fin</t>
    </r>
    <r>
      <rPr>
        <sz val="9"/>
        <rFont val="Arial"/>
        <family val="2"/>
      </rPr>
      <t xml:space="preserve"> / u</t>
    </r>
    <r>
      <rPr>
        <vertAlign val="subscript"/>
        <sz val="9"/>
        <rFont val="Arial"/>
        <family val="2"/>
      </rPr>
      <t>fin,lim</t>
    </r>
  </si>
  <si>
    <t>massimi:</t>
  </si>
  <si>
    <t>Verifiche in condizione di incendio</t>
  </si>
  <si>
    <t>Sezione integra</t>
  </si>
  <si>
    <t>Resistenza al fuoco richiesta:</t>
  </si>
  <si>
    <t xml:space="preserve">R </t>
  </si>
  <si>
    <t>Metodo della sezione efficace</t>
  </si>
  <si>
    <r>
      <t>b</t>
    </r>
    <r>
      <rPr>
        <vertAlign val="subscript"/>
        <sz val="9"/>
        <rFont val="Arial"/>
        <family val="2"/>
      </rPr>
      <t xml:space="preserve">n </t>
    </r>
    <r>
      <rPr>
        <sz val="9"/>
        <rFont val="Arial"/>
        <family val="2"/>
      </rPr>
      <t>=</t>
    </r>
  </si>
  <si>
    <t>mm/min</t>
  </si>
  <si>
    <t>Valori di calcolo dei moduli di elasticità</t>
  </si>
  <si>
    <r>
      <t>t</t>
    </r>
    <r>
      <rPr>
        <vertAlign val="subscript"/>
        <sz val="9"/>
        <rFont val="Arial"/>
        <family val="2"/>
      </rPr>
      <t>fi,req</t>
    </r>
    <r>
      <rPr>
        <sz val="9"/>
        <rFont val="Arial"/>
        <family val="2"/>
      </rPr>
      <t xml:space="preserve"> =</t>
    </r>
    <r>
      <rPr>
        <sz val="9"/>
        <rFont val="Arial"/>
        <family val="2"/>
      </rPr>
      <t xml:space="preserve"> </t>
    </r>
  </si>
  <si>
    <t>min</t>
  </si>
  <si>
    <t>mod. elast. parall.</t>
  </si>
  <si>
    <r>
      <t>E</t>
    </r>
    <r>
      <rPr>
        <vertAlign val="subscript"/>
        <sz val="9"/>
        <rFont val="Arial"/>
        <family val="2"/>
      </rPr>
      <t>0,fi,d</t>
    </r>
    <r>
      <rPr>
        <sz val="9"/>
        <rFont val="Arial"/>
        <family val="2"/>
      </rPr>
      <t xml:space="preserve"> =</t>
    </r>
  </si>
  <si>
    <r>
      <t>d</t>
    </r>
    <r>
      <rPr>
        <vertAlign val="subscript"/>
        <sz val="9"/>
        <rFont val="Arial"/>
        <family val="2"/>
      </rPr>
      <t xml:space="preserve">char </t>
    </r>
    <r>
      <rPr>
        <sz val="9"/>
        <rFont val="Arial"/>
        <family val="2"/>
      </rPr>
      <t>=</t>
    </r>
    <r>
      <rPr>
        <sz val="9"/>
        <rFont val="Symbol"/>
        <family val="1"/>
        <charset val="2"/>
      </rPr>
      <t xml:space="preserve"> b</t>
    </r>
    <r>
      <rPr>
        <vertAlign val="subscript"/>
        <sz val="9"/>
        <rFont val="Arial"/>
        <family val="2"/>
      </rPr>
      <t>n</t>
    </r>
    <r>
      <rPr>
        <sz val="9"/>
        <rFont val="Arial"/>
        <family val="2"/>
      </rPr>
      <t xml:space="preserve"> t</t>
    </r>
    <r>
      <rPr>
        <vertAlign val="subscript"/>
        <sz val="9"/>
        <rFont val="Arial"/>
        <family val="2"/>
      </rPr>
      <t>fi,req</t>
    </r>
    <r>
      <rPr>
        <sz val="9"/>
        <rFont val="Arial"/>
        <family val="2"/>
      </rPr>
      <t xml:space="preserve"> = </t>
    </r>
  </si>
  <si>
    <t>mod. elast. ortog.</t>
  </si>
  <si>
    <r>
      <t>E</t>
    </r>
    <r>
      <rPr>
        <vertAlign val="subscript"/>
        <sz val="9"/>
        <rFont val="Arial"/>
        <family val="2"/>
      </rPr>
      <t>90,fi,d</t>
    </r>
    <r>
      <rPr>
        <sz val="9"/>
        <rFont val="Arial"/>
        <family val="2"/>
      </rPr>
      <t xml:space="preserve"> =</t>
    </r>
  </si>
  <si>
    <r>
      <t>k</t>
    </r>
    <r>
      <rPr>
        <vertAlign val="subscript"/>
        <sz val="9"/>
        <rFont val="Arial"/>
        <family val="2"/>
      </rPr>
      <t xml:space="preserve">0 </t>
    </r>
    <r>
      <rPr>
        <sz val="9"/>
        <rFont val="Arial"/>
        <family val="2"/>
      </rPr>
      <t>=</t>
    </r>
  </si>
  <si>
    <t>modulo di taglio</t>
  </si>
  <si>
    <r>
      <t>G</t>
    </r>
    <r>
      <rPr>
        <vertAlign val="subscript"/>
        <sz val="9"/>
        <rFont val="Arial"/>
        <family val="2"/>
      </rPr>
      <t>fi,d</t>
    </r>
    <r>
      <rPr>
        <sz val="9"/>
        <rFont val="Arial"/>
        <family val="2"/>
      </rPr>
      <t xml:space="preserve"> =</t>
    </r>
  </si>
  <si>
    <r>
      <t>d</t>
    </r>
    <r>
      <rPr>
        <vertAlign val="subscript"/>
        <sz val="9"/>
        <rFont val="Arial"/>
        <family val="2"/>
      </rPr>
      <t xml:space="preserve">0 </t>
    </r>
    <r>
      <rPr>
        <sz val="9"/>
        <rFont val="Arial"/>
        <family val="2"/>
      </rPr>
      <t>=</t>
    </r>
  </si>
  <si>
    <t>Valori di calcolo di resistenza</t>
  </si>
  <si>
    <r>
      <t>d</t>
    </r>
    <r>
      <rPr>
        <vertAlign val="subscript"/>
        <sz val="9"/>
        <rFont val="Arial"/>
        <family val="2"/>
      </rPr>
      <t xml:space="preserve">ef </t>
    </r>
    <r>
      <rPr>
        <sz val="9"/>
        <rFont val="Arial"/>
        <family val="2"/>
      </rPr>
      <t>= d</t>
    </r>
    <r>
      <rPr>
        <vertAlign val="subscript"/>
        <sz val="9"/>
        <rFont val="Arial"/>
        <family val="2"/>
      </rPr>
      <t>char</t>
    </r>
    <r>
      <rPr>
        <sz val="9"/>
        <rFont val="Arial"/>
        <family val="2"/>
      </rPr>
      <t xml:space="preserve"> + k</t>
    </r>
    <r>
      <rPr>
        <vertAlign val="subscript"/>
        <sz val="9"/>
        <rFont val="Arial"/>
        <family val="2"/>
      </rPr>
      <t>0</t>
    </r>
    <r>
      <rPr>
        <sz val="9"/>
        <rFont val="Arial"/>
        <family val="2"/>
      </rPr>
      <t xml:space="preserve"> d</t>
    </r>
    <r>
      <rPr>
        <vertAlign val="subscript"/>
        <sz val="9"/>
        <rFont val="Arial"/>
        <family val="2"/>
      </rPr>
      <t>0</t>
    </r>
    <r>
      <rPr>
        <sz val="9"/>
        <rFont val="Arial"/>
        <family val="2"/>
      </rPr>
      <t xml:space="preserve"> =</t>
    </r>
  </si>
  <si>
    <r>
      <t>f</t>
    </r>
    <r>
      <rPr>
        <vertAlign val="subscript"/>
        <sz val="9"/>
        <rFont val="Arial"/>
        <family val="2"/>
      </rPr>
      <t>m,fi,d</t>
    </r>
    <r>
      <rPr>
        <sz val="9"/>
        <rFont val="Arial"/>
        <family val="2"/>
      </rPr>
      <t xml:space="preserve"> =</t>
    </r>
  </si>
  <si>
    <t>N.° superfici esposte al fuoco</t>
  </si>
  <si>
    <r>
      <t>f</t>
    </r>
    <r>
      <rPr>
        <vertAlign val="subscript"/>
        <sz val="9"/>
        <rFont val="Arial"/>
        <family val="2"/>
      </rPr>
      <t>t,0,fi,d</t>
    </r>
    <r>
      <rPr>
        <sz val="9"/>
        <rFont val="Arial"/>
        <family val="2"/>
      </rPr>
      <t xml:space="preserve"> =</t>
    </r>
  </si>
  <si>
    <t>lateralmente:</t>
  </si>
  <si>
    <r>
      <t>f</t>
    </r>
    <r>
      <rPr>
        <vertAlign val="subscript"/>
        <sz val="9"/>
        <rFont val="Arial"/>
        <family val="2"/>
      </rPr>
      <t>t,90,fi,d</t>
    </r>
    <r>
      <rPr>
        <sz val="9"/>
        <rFont val="Arial"/>
        <family val="2"/>
      </rPr>
      <t xml:space="preserve"> =</t>
    </r>
  </si>
  <si>
    <t>riduzione di b:</t>
  </si>
  <si>
    <r>
      <t>d</t>
    </r>
    <r>
      <rPr>
        <vertAlign val="subscript"/>
        <sz val="9"/>
        <rFont val="Arial"/>
        <family val="2"/>
      </rPr>
      <t>ef</t>
    </r>
  </si>
  <si>
    <r>
      <t>f</t>
    </r>
    <r>
      <rPr>
        <vertAlign val="subscript"/>
        <sz val="9"/>
        <rFont val="Arial"/>
        <family val="2"/>
      </rPr>
      <t>c,0,fi,d</t>
    </r>
    <r>
      <rPr>
        <sz val="9"/>
        <rFont val="Arial"/>
        <family val="2"/>
      </rPr>
      <t xml:space="preserve"> =</t>
    </r>
  </si>
  <si>
    <t>inferiormente e superiormente:</t>
  </si>
  <si>
    <r>
      <t>f</t>
    </r>
    <r>
      <rPr>
        <vertAlign val="subscript"/>
        <sz val="9"/>
        <rFont val="Arial"/>
        <family val="2"/>
      </rPr>
      <t>c,90,fi,d</t>
    </r>
    <r>
      <rPr>
        <sz val="9"/>
        <rFont val="Arial"/>
        <family val="2"/>
      </rPr>
      <t xml:space="preserve"> =</t>
    </r>
  </si>
  <si>
    <t>riduzione di h:</t>
  </si>
  <si>
    <r>
      <t>f</t>
    </r>
    <r>
      <rPr>
        <vertAlign val="subscript"/>
        <sz val="9"/>
        <rFont val="Arial"/>
        <family val="2"/>
      </rPr>
      <t>v,fi,d</t>
    </r>
    <r>
      <rPr>
        <sz val="9"/>
        <rFont val="Arial"/>
        <family val="2"/>
      </rPr>
      <t xml:space="preserve"> =</t>
    </r>
  </si>
  <si>
    <t>Coefficienti di calcolo utilizzati:</t>
  </si>
  <si>
    <t>Sezione efficace</t>
  </si>
  <si>
    <r>
      <t>k</t>
    </r>
    <r>
      <rPr>
        <vertAlign val="subscript"/>
        <sz val="9"/>
        <rFont val="Arial"/>
        <family val="2"/>
      </rPr>
      <t>mod,fi</t>
    </r>
    <r>
      <rPr>
        <sz val="9"/>
        <rFont val="Arial"/>
        <family val="2"/>
      </rPr>
      <t xml:space="preserve"> =</t>
    </r>
  </si>
  <si>
    <r>
      <t>b</t>
    </r>
    <r>
      <rPr>
        <vertAlign val="subscript"/>
        <sz val="9"/>
        <rFont val="Arial"/>
        <family val="2"/>
      </rPr>
      <t>ef</t>
    </r>
    <r>
      <rPr>
        <sz val="9"/>
        <rFont val="Arial"/>
        <family val="2"/>
      </rPr>
      <t xml:space="preserve"> =</t>
    </r>
  </si>
  <si>
    <r>
      <t>k</t>
    </r>
    <r>
      <rPr>
        <vertAlign val="subscript"/>
        <sz val="9"/>
        <rFont val="Arial"/>
        <family val="2"/>
      </rPr>
      <t>fi</t>
    </r>
    <r>
      <rPr>
        <sz val="9"/>
        <rFont val="Arial"/>
        <family val="2"/>
      </rPr>
      <t xml:space="preserve"> =</t>
    </r>
  </si>
  <si>
    <r>
      <t>k</t>
    </r>
    <r>
      <rPr>
        <vertAlign val="subscript"/>
        <sz val="9"/>
        <rFont val="Arial"/>
        <family val="2"/>
      </rPr>
      <t>mod,fi</t>
    </r>
    <r>
      <rPr>
        <sz val="9"/>
        <rFont val="Arial"/>
        <family val="2"/>
      </rPr>
      <t xml:space="preserve"> k</t>
    </r>
    <r>
      <rPr>
        <vertAlign val="subscript"/>
        <sz val="9"/>
        <rFont val="Arial"/>
        <family val="2"/>
      </rPr>
      <t>fi</t>
    </r>
    <r>
      <rPr>
        <sz val="9"/>
        <rFont val="Arial"/>
        <family val="2"/>
      </rPr>
      <t xml:space="preserve"> / </t>
    </r>
    <r>
      <rPr>
        <sz val="9"/>
        <rFont val="Symbol"/>
        <family val="1"/>
        <charset val="2"/>
      </rPr>
      <t>g</t>
    </r>
    <r>
      <rPr>
        <vertAlign val="subscript"/>
        <sz val="9"/>
        <rFont val="Arial"/>
        <family val="2"/>
      </rPr>
      <t>M,fi</t>
    </r>
    <r>
      <rPr>
        <sz val="9"/>
        <rFont val="Arial"/>
        <family val="2"/>
      </rPr>
      <t xml:space="preserve"> =</t>
    </r>
    <r>
      <rPr>
        <vertAlign val="subscript"/>
        <sz val="9"/>
        <rFont val="Arial"/>
        <family val="2"/>
      </rPr>
      <t xml:space="preserve"> </t>
    </r>
  </si>
  <si>
    <r>
      <t>h</t>
    </r>
    <r>
      <rPr>
        <vertAlign val="subscript"/>
        <sz val="9"/>
        <rFont val="Arial"/>
        <family val="2"/>
      </rPr>
      <t xml:space="preserve">ef </t>
    </r>
    <r>
      <rPr>
        <sz val="9"/>
        <rFont val="Arial"/>
        <family val="2"/>
      </rPr>
      <t>=</t>
    </r>
  </si>
  <si>
    <r>
      <t>g</t>
    </r>
    <r>
      <rPr>
        <vertAlign val="subscript"/>
        <sz val="9"/>
        <rFont val="Arial"/>
        <family val="2"/>
      </rPr>
      <t>M,fi</t>
    </r>
    <r>
      <rPr>
        <sz val="9"/>
        <rFont val="Arial"/>
        <family val="2"/>
      </rPr>
      <t xml:space="preserve"> =</t>
    </r>
  </si>
  <si>
    <r>
      <t>b</t>
    </r>
    <r>
      <rPr>
        <vertAlign val="subscript"/>
        <sz val="9"/>
        <rFont val="Arial"/>
        <family val="2"/>
      </rPr>
      <t>ef,</t>
    </r>
    <r>
      <rPr>
        <vertAlign val="subscript"/>
        <sz val="9"/>
        <rFont val="Symbol"/>
        <family val="1"/>
        <charset val="2"/>
      </rPr>
      <t>t</t>
    </r>
    <r>
      <rPr>
        <sz val="9"/>
        <rFont val="Arial"/>
        <family val="2"/>
      </rPr>
      <t xml:space="preserve"> =</t>
    </r>
  </si>
  <si>
    <r>
      <t>A = b</t>
    </r>
    <r>
      <rPr>
        <vertAlign val="subscript"/>
        <sz val="9"/>
        <rFont val="Arial"/>
        <family val="2"/>
      </rPr>
      <t xml:space="preserve">ef </t>
    </r>
    <r>
      <rPr>
        <sz val="9"/>
        <rFont val="Arial"/>
        <family val="2"/>
      </rPr>
      <t>h</t>
    </r>
    <r>
      <rPr>
        <vertAlign val="subscript"/>
        <sz val="9"/>
        <rFont val="Arial"/>
        <family val="2"/>
      </rPr>
      <t>ef</t>
    </r>
    <r>
      <rPr>
        <sz val="9"/>
        <rFont val="Arial"/>
        <family val="2"/>
      </rPr>
      <t xml:space="preserve"> =</t>
    </r>
  </si>
  <si>
    <r>
      <t>J</t>
    </r>
    <r>
      <rPr>
        <vertAlign val="subscript"/>
        <sz val="9"/>
        <rFont val="Arial"/>
        <family val="2"/>
      </rPr>
      <t xml:space="preserve">22 </t>
    </r>
    <r>
      <rPr>
        <sz val="9"/>
        <rFont val="Arial"/>
        <family val="2"/>
      </rPr>
      <t>= b</t>
    </r>
    <r>
      <rPr>
        <vertAlign val="subscript"/>
        <sz val="9"/>
        <rFont val="Arial"/>
        <family val="2"/>
      </rPr>
      <t xml:space="preserve">ef </t>
    </r>
    <r>
      <rPr>
        <sz val="9"/>
        <rFont val="Arial"/>
        <family val="2"/>
      </rPr>
      <t>h</t>
    </r>
    <r>
      <rPr>
        <vertAlign val="subscript"/>
        <sz val="9"/>
        <rFont val="Arial"/>
        <family val="2"/>
      </rPr>
      <t>ef</t>
    </r>
    <r>
      <rPr>
        <vertAlign val="superscript"/>
        <sz val="9"/>
        <rFont val="Arial"/>
        <family val="2"/>
      </rPr>
      <t>3</t>
    </r>
    <r>
      <rPr>
        <sz val="9"/>
        <rFont val="Arial"/>
        <family val="2"/>
      </rPr>
      <t>/12 =</t>
    </r>
  </si>
  <si>
    <r>
      <t>W</t>
    </r>
    <r>
      <rPr>
        <vertAlign val="subscript"/>
        <sz val="9"/>
        <rFont val="Arial"/>
        <family val="2"/>
      </rPr>
      <t xml:space="preserve">22 </t>
    </r>
    <r>
      <rPr>
        <sz val="9"/>
        <rFont val="Arial"/>
        <family val="2"/>
      </rPr>
      <t>= b</t>
    </r>
    <r>
      <rPr>
        <vertAlign val="subscript"/>
        <sz val="9"/>
        <rFont val="Arial"/>
        <family val="2"/>
      </rPr>
      <t xml:space="preserve">ef </t>
    </r>
    <r>
      <rPr>
        <sz val="9"/>
        <rFont val="Arial"/>
        <family val="2"/>
      </rPr>
      <t>h</t>
    </r>
    <r>
      <rPr>
        <vertAlign val="subscript"/>
        <sz val="9"/>
        <rFont val="Arial"/>
        <family val="2"/>
      </rPr>
      <t>ef</t>
    </r>
    <r>
      <rPr>
        <vertAlign val="superscript"/>
        <sz val="9"/>
        <rFont val="Arial"/>
        <family val="2"/>
      </rPr>
      <t>2</t>
    </r>
    <r>
      <rPr>
        <sz val="9"/>
        <rFont val="Arial"/>
        <family val="2"/>
      </rPr>
      <t xml:space="preserve">/6 = </t>
    </r>
  </si>
  <si>
    <t>Combinazione di carico</t>
  </si>
  <si>
    <r>
      <t>Y</t>
    </r>
    <r>
      <rPr>
        <vertAlign val="subscript"/>
        <sz val="9"/>
        <rFont val="Arial"/>
        <family val="2"/>
      </rPr>
      <t>2,i</t>
    </r>
    <r>
      <rPr>
        <sz val="9"/>
        <rFont val="Arial"/>
        <family val="2"/>
      </rPr>
      <t xml:space="preserve"> =</t>
    </r>
  </si>
  <si>
    <r>
      <t>F</t>
    </r>
    <r>
      <rPr>
        <vertAlign val="subscript"/>
        <sz val="9"/>
        <rFont val="Arial"/>
        <family val="2"/>
      </rPr>
      <t>d</t>
    </r>
    <r>
      <rPr>
        <sz val="9"/>
        <rFont val="Arial"/>
        <family val="2"/>
      </rPr>
      <t xml:space="preserve"> = 1,0 G</t>
    </r>
    <r>
      <rPr>
        <vertAlign val="subscript"/>
        <sz val="9"/>
        <rFont val="Arial"/>
        <family val="2"/>
      </rPr>
      <t>1k</t>
    </r>
    <r>
      <rPr>
        <sz val="9"/>
        <rFont val="Arial"/>
        <family val="2"/>
      </rPr>
      <t>+1,0 G</t>
    </r>
    <r>
      <rPr>
        <vertAlign val="subscript"/>
        <sz val="9"/>
        <rFont val="Arial"/>
        <family val="2"/>
      </rPr>
      <t>2k</t>
    </r>
    <r>
      <rPr>
        <sz val="9"/>
        <rFont val="Arial"/>
        <family val="2"/>
      </rPr>
      <t>+</t>
    </r>
    <r>
      <rPr>
        <sz val="9"/>
        <rFont val="Symbol"/>
        <family val="1"/>
        <charset val="2"/>
      </rPr>
      <t>Y</t>
    </r>
    <r>
      <rPr>
        <sz val="9"/>
        <rFont val="Arial"/>
        <family val="2"/>
      </rPr>
      <t xml:space="preserve"> </t>
    </r>
    <r>
      <rPr>
        <vertAlign val="subscript"/>
        <sz val="9"/>
        <rFont val="Arial"/>
        <family val="2"/>
      </rPr>
      <t>2,1</t>
    </r>
    <r>
      <rPr>
        <sz val="9"/>
        <rFont val="Arial"/>
        <family val="2"/>
      </rPr>
      <t xml:space="preserve"> Q</t>
    </r>
    <r>
      <rPr>
        <vertAlign val="subscript"/>
        <sz val="9"/>
        <rFont val="Arial"/>
        <family val="2"/>
      </rPr>
      <t>var,k</t>
    </r>
  </si>
  <si>
    <r>
      <t>→</t>
    </r>
    <r>
      <rPr>
        <sz val="9"/>
        <rFont val="Arial"/>
        <family val="2"/>
      </rPr>
      <t xml:space="preserve">       </t>
    </r>
    <r>
      <rPr>
        <sz val="9"/>
        <rFont val="Arial"/>
        <family val="2"/>
      </rPr>
      <t>q</t>
    </r>
    <r>
      <rPr>
        <vertAlign val="subscript"/>
        <sz val="9"/>
        <rFont val="Arial"/>
        <family val="2"/>
      </rPr>
      <t xml:space="preserve">d </t>
    </r>
    <r>
      <rPr>
        <sz val="9"/>
        <rFont val="Arial"/>
        <family val="2"/>
      </rPr>
      <t>=</t>
    </r>
  </si>
  <si>
    <r>
      <t>→</t>
    </r>
    <r>
      <rPr>
        <sz val="9"/>
        <rFont val="Arial"/>
        <family val="2"/>
      </rPr>
      <t xml:space="preserve">       </t>
    </r>
    <r>
      <rPr>
        <sz val="9"/>
        <rFont val="Arial"/>
        <family val="2"/>
      </rPr>
      <t>P</t>
    </r>
    <r>
      <rPr>
        <vertAlign val="subscript"/>
        <sz val="9"/>
        <rFont val="Arial"/>
        <family val="2"/>
      </rPr>
      <t xml:space="preserve">d </t>
    </r>
    <r>
      <rPr>
        <sz val="9"/>
        <rFont val="Arial"/>
        <family val="2"/>
      </rPr>
      <t>=</t>
    </r>
  </si>
  <si>
    <t>Tensioni di progetto</t>
  </si>
  <si>
    <r>
      <t>t</t>
    </r>
    <r>
      <rPr>
        <vertAlign val="subscript"/>
        <sz val="9"/>
        <rFont val="Arial"/>
        <family val="2"/>
      </rPr>
      <t>d</t>
    </r>
    <r>
      <rPr>
        <sz val="9"/>
        <rFont val="Arial"/>
        <family val="2"/>
      </rPr>
      <t xml:space="preserve"> = 1,5 V</t>
    </r>
    <r>
      <rPr>
        <vertAlign val="subscript"/>
        <sz val="9"/>
        <rFont val="Arial"/>
        <family val="2"/>
      </rPr>
      <t>3</t>
    </r>
    <r>
      <rPr>
        <sz val="9"/>
        <rFont val="Arial"/>
        <family val="2"/>
      </rPr>
      <t xml:space="preserve"> / h</t>
    </r>
    <r>
      <rPr>
        <vertAlign val="subscript"/>
        <sz val="9"/>
        <rFont val="Arial"/>
        <family val="2"/>
      </rPr>
      <t>ef</t>
    </r>
    <r>
      <rPr>
        <sz val="9"/>
        <rFont val="Arial"/>
        <family val="2"/>
      </rPr>
      <t xml:space="preserve"> b</t>
    </r>
    <r>
      <rPr>
        <vertAlign val="subscript"/>
        <sz val="9"/>
        <rFont val="Arial"/>
        <family val="2"/>
      </rPr>
      <t>ef</t>
    </r>
    <r>
      <rPr>
        <vertAlign val="subscript"/>
        <sz val="9"/>
        <rFont val="Symbol"/>
        <family val="1"/>
        <charset val="2"/>
      </rPr>
      <t>t</t>
    </r>
    <r>
      <rPr>
        <sz val="9"/>
        <rFont val="Arial"/>
        <family val="2"/>
      </rPr>
      <t xml:space="preserve"> =</t>
    </r>
  </si>
  <si>
    <r>
      <t>Lunghezza efficace</t>
    </r>
    <r>
      <rPr>
        <sz val="9"/>
        <rFont val="Arial"/>
        <family val="2"/>
      </rPr>
      <t xml:space="preserve"> (per sbandamento nel piano debole 1-2)</t>
    </r>
  </si>
  <si>
    <r>
      <t>Calcolo dei coefficienti di sbandamento laterale k</t>
    </r>
    <r>
      <rPr>
        <b/>
        <vertAlign val="subscript"/>
        <sz val="9"/>
        <rFont val="Arial"/>
        <family val="2"/>
      </rPr>
      <t xml:space="preserve">crit  </t>
    </r>
    <r>
      <rPr>
        <b/>
        <sz val="9"/>
        <rFont val="Arial"/>
        <family val="2"/>
      </rPr>
      <t>(sbandamento nel piano debole 1-2) e di k</t>
    </r>
    <r>
      <rPr>
        <b/>
        <vertAlign val="subscript"/>
        <sz val="9"/>
        <rFont val="Arial"/>
        <family val="2"/>
      </rPr>
      <t>c,90</t>
    </r>
  </si>
  <si>
    <r>
      <t>k</t>
    </r>
    <r>
      <rPr>
        <vertAlign val="subscript"/>
        <sz val="9"/>
        <rFont val="Arial"/>
        <family val="2"/>
      </rPr>
      <t>crit</t>
    </r>
    <r>
      <rPr>
        <sz val="9"/>
        <rFont val="Arial"/>
        <family val="2"/>
      </rPr>
      <t xml:space="preserve"> =  (formule in funzione di </t>
    </r>
    <r>
      <rPr>
        <sz val="9"/>
        <rFont val="Symbol"/>
        <family val="1"/>
        <charset val="2"/>
      </rPr>
      <t>l</t>
    </r>
    <r>
      <rPr>
        <vertAlign val="subscript"/>
        <sz val="9"/>
        <rFont val="Arial"/>
        <family val="2"/>
      </rPr>
      <t>rel,m</t>
    </r>
    <r>
      <rPr>
        <sz val="9"/>
        <rFont val="Arial"/>
        <family val="2"/>
      </rPr>
      <t>) =</t>
    </r>
  </si>
  <si>
    <r>
      <t>l</t>
    </r>
    <r>
      <rPr>
        <vertAlign val="subscript"/>
        <sz val="9"/>
        <rFont val="Arial"/>
        <family val="2"/>
      </rPr>
      <t>rel,m</t>
    </r>
    <r>
      <rPr>
        <sz val="9"/>
        <rFont val="Arial"/>
        <family val="2"/>
      </rPr>
      <t xml:space="preserve"> = ( f</t>
    </r>
    <r>
      <rPr>
        <vertAlign val="subscript"/>
        <sz val="9"/>
        <rFont val="Arial"/>
        <family val="2"/>
      </rPr>
      <t xml:space="preserve">m,k </t>
    </r>
    <r>
      <rPr>
        <sz val="9"/>
        <rFont val="Arial"/>
        <family val="2"/>
      </rPr>
      <t xml:space="preserve">/ </t>
    </r>
    <r>
      <rPr>
        <sz val="9"/>
        <rFont val="Symbol"/>
        <family val="1"/>
        <charset val="2"/>
      </rPr>
      <t>s</t>
    </r>
    <r>
      <rPr>
        <vertAlign val="subscript"/>
        <sz val="9"/>
        <rFont val="Arial"/>
        <family val="2"/>
      </rPr>
      <t>m,crit</t>
    </r>
    <r>
      <rPr>
        <sz val="9"/>
        <rFont val="Symbol"/>
        <family val="1"/>
        <charset val="2"/>
      </rPr>
      <t xml:space="preserve"> </t>
    </r>
    <r>
      <rPr>
        <sz val="9"/>
        <rFont val="Arial"/>
        <family val="2"/>
      </rPr>
      <t>)</t>
    </r>
    <r>
      <rPr>
        <vertAlign val="superscript"/>
        <sz val="9"/>
        <rFont val="Arial"/>
        <family val="2"/>
      </rPr>
      <t>0,5</t>
    </r>
    <r>
      <rPr>
        <sz val="9"/>
        <rFont val="Arial"/>
        <family val="2"/>
      </rPr>
      <t xml:space="preserve"> =</t>
    </r>
  </si>
  <si>
    <t xml:space="preserve">m </t>
  </si>
  <si>
    <r>
      <t xml:space="preserve">h = s </t>
    </r>
    <r>
      <rPr>
        <vertAlign val="subscript"/>
        <sz val="9"/>
        <rFont val="Arial"/>
        <family val="2"/>
      </rPr>
      <t>m,2,d</t>
    </r>
    <r>
      <rPr>
        <sz val="9"/>
        <rFont val="Arial"/>
        <family val="2"/>
      </rPr>
      <t xml:space="preserve"> / f</t>
    </r>
    <r>
      <rPr>
        <vertAlign val="subscript"/>
        <sz val="9"/>
        <rFont val="Arial"/>
        <family val="2"/>
      </rPr>
      <t>m,fi,d</t>
    </r>
    <r>
      <rPr>
        <sz val="9"/>
        <rFont val="Arial"/>
        <family val="2"/>
      </rPr>
      <t xml:space="preserve"> </t>
    </r>
    <r>
      <rPr>
        <sz val="9"/>
        <rFont val="Symbol"/>
        <family val="1"/>
        <charset val="2"/>
      </rPr>
      <t>£</t>
    </r>
    <r>
      <rPr>
        <sz val="9"/>
        <rFont val="Arial"/>
        <family val="2"/>
      </rPr>
      <t xml:space="preserve"> 1</t>
    </r>
  </si>
  <si>
    <r>
      <t xml:space="preserve">h = s </t>
    </r>
    <r>
      <rPr>
        <vertAlign val="subscript"/>
        <sz val="9"/>
        <rFont val="Arial"/>
        <family val="2"/>
      </rPr>
      <t>m,2,d</t>
    </r>
    <r>
      <rPr>
        <sz val="9"/>
        <rFont val="Arial"/>
        <family val="2"/>
      </rPr>
      <t xml:space="preserve"> / (k</t>
    </r>
    <r>
      <rPr>
        <vertAlign val="subscript"/>
        <sz val="9"/>
        <rFont val="Arial"/>
        <family val="2"/>
      </rPr>
      <t xml:space="preserve">crit * </t>
    </r>
    <r>
      <rPr>
        <sz val="9"/>
        <rFont val="Arial"/>
        <family val="2"/>
      </rPr>
      <t>f</t>
    </r>
    <r>
      <rPr>
        <vertAlign val="subscript"/>
        <sz val="9"/>
        <rFont val="Arial"/>
        <family val="2"/>
      </rPr>
      <t>m,fi,d</t>
    </r>
    <r>
      <rPr>
        <sz val="9"/>
        <rFont val="Arial"/>
        <family val="2"/>
      </rPr>
      <t xml:space="preserve">) </t>
    </r>
    <r>
      <rPr>
        <sz val="9"/>
        <rFont val="Symbol"/>
        <family val="1"/>
        <charset val="2"/>
      </rPr>
      <t>£</t>
    </r>
    <r>
      <rPr>
        <sz val="9"/>
        <rFont val="Arial"/>
        <family val="2"/>
      </rPr>
      <t xml:space="preserve"> 1</t>
    </r>
  </si>
  <si>
    <r>
      <t>h = t</t>
    </r>
    <r>
      <rPr>
        <vertAlign val="subscript"/>
        <sz val="9"/>
        <rFont val="Arial"/>
        <family val="2"/>
      </rPr>
      <t xml:space="preserve">d </t>
    </r>
    <r>
      <rPr>
        <sz val="9"/>
        <rFont val="Arial"/>
        <family val="2"/>
      </rPr>
      <t>/ f</t>
    </r>
    <r>
      <rPr>
        <vertAlign val="subscript"/>
        <sz val="9"/>
        <rFont val="Arial"/>
        <family val="2"/>
      </rPr>
      <t>v,fi,d</t>
    </r>
    <r>
      <rPr>
        <sz val="9"/>
        <rFont val="Arial"/>
        <family val="2"/>
      </rPr>
      <t xml:space="preserve"> </t>
    </r>
    <r>
      <rPr>
        <sz val="9"/>
        <rFont val="Symbol"/>
        <family val="1"/>
        <charset val="2"/>
      </rPr>
      <t>£</t>
    </r>
    <r>
      <rPr>
        <sz val="9"/>
        <rFont val="Arial"/>
        <family val="2"/>
      </rPr>
      <t xml:space="preserve"> 1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</si>
</sst>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 &quot;mm&quot;"/>
    <numFmt numFmtId="165" formatCode="&quot;R&quot;0"/>
    <numFmt numFmtId="166" formatCode="0.00\ &quot;mm **&quot;"/>
    <numFmt numFmtId="167" formatCode="0.000"/>
    <numFmt numFmtId="168" formatCode="0.0"/>
    <numFmt numFmtId="169" formatCode="0.0%"/>
    <numFmt numFmtId="170" formatCode="0.00000"/>
    <numFmt numFmtId="171" formatCode="\η\ \=\ 0.00"/>
    <numFmt numFmtId="172" formatCode="0.0000"/>
  </numFmts>
  <fonts count="58" x14ac:knownFonts="1">
    <font>
      <sz val="10"/>
      <name val="Arial"/>
    </font>
    <font>
      <sz val="10"/>
      <name val="Arial"/>
      <family val="2"/>
    </font>
    <font>
      <b/>
      <sz val="9"/>
      <name val="Arial"/>
      <family val="2"/>
    </font>
    <font>
      <b/>
      <sz val="9"/>
      <color indexed="12"/>
      <name val="Arial"/>
      <family val="2"/>
    </font>
    <font>
      <b/>
      <sz val="10"/>
      <name val="Arial"/>
      <family val="2"/>
    </font>
    <font>
      <sz val="9"/>
      <name val="Arial"/>
      <family val="2"/>
    </font>
    <font>
      <b/>
      <sz val="9"/>
      <color rgb="FF0000FF"/>
      <name val="Arial"/>
      <family val="2"/>
    </font>
    <font>
      <sz val="8"/>
      <name val="Arial"/>
      <family val="2"/>
    </font>
    <font>
      <b/>
      <sz val="9"/>
      <color indexed="10"/>
      <name val="Arial"/>
      <family val="2"/>
    </font>
    <font>
      <vertAlign val="subscript"/>
      <sz val="9"/>
      <name val="Arial"/>
      <family val="2"/>
    </font>
    <font>
      <b/>
      <sz val="8"/>
      <name val="Arial"/>
      <family val="2"/>
    </font>
    <font>
      <b/>
      <sz val="8"/>
      <color indexed="12"/>
      <name val="Arial"/>
      <family val="2"/>
    </font>
    <font>
      <b/>
      <sz val="9"/>
      <name val="Italic"/>
    </font>
    <font>
      <b/>
      <vertAlign val="superscript"/>
      <sz val="9"/>
      <name val="Arial"/>
      <family val="2"/>
    </font>
    <font>
      <b/>
      <vertAlign val="subscript"/>
      <sz val="9"/>
      <name val="Arial"/>
      <family val="2"/>
    </font>
    <font>
      <b/>
      <i/>
      <vertAlign val="subscript"/>
      <sz val="9"/>
      <name val="Arial"/>
      <family val="2"/>
    </font>
    <font>
      <b/>
      <sz val="10"/>
      <color rgb="FF0066FF"/>
      <name val="Arial"/>
      <family val="2"/>
    </font>
    <font>
      <sz val="9"/>
      <name val="Italic"/>
    </font>
    <font>
      <sz val="9"/>
      <color indexed="12"/>
      <name val="Arial"/>
      <family val="2"/>
    </font>
    <font>
      <u/>
      <sz val="8"/>
      <name val="Arial"/>
      <family val="2"/>
    </font>
    <font>
      <i/>
      <vertAlign val="subscript"/>
      <sz val="9"/>
      <name val="Arial"/>
      <family val="2"/>
    </font>
    <font>
      <i/>
      <u/>
      <sz val="8"/>
      <name val="Arial"/>
      <family val="2"/>
    </font>
    <font>
      <sz val="2"/>
      <color theme="0" tint="-0.34998626667073579"/>
      <name val="Arial"/>
      <family val="2"/>
    </font>
    <font>
      <b/>
      <sz val="9"/>
      <name val="Symbol"/>
      <family val="1"/>
      <charset val="2"/>
    </font>
    <font>
      <vertAlign val="subscript"/>
      <sz val="10"/>
      <name val="Arial"/>
      <family val="2"/>
    </font>
    <font>
      <sz val="9"/>
      <name val="Symbol"/>
      <family val="1"/>
      <charset val="2"/>
    </font>
    <font>
      <sz val="10"/>
      <name val="Symbol"/>
      <family val="1"/>
      <charset val="2"/>
    </font>
    <font>
      <vertAlign val="subscript"/>
      <sz val="8"/>
      <name val="Arial"/>
      <family val="2"/>
    </font>
    <font>
      <vertAlign val="superscript"/>
      <sz val="9"/>
      <name val="Arial"/>
      <family val="2"/>
    </font>
    <font>
      <i/>
      <sz val="8"/>
      <name val="Arial"/>
      <family val="2"/>
    </font>
    <font>
      <i/>
      <sz val="9"/>
      <name val="Arial"/>
      <family val="2"/>
    </font>
    <font>
      <b/>
      <sz val="9"/>
      <color indexed="17"/>
      <name val="Arial"/>
      <family val="2"/>
    </font>
    <font>
      <b/>
      <sz val="9"/>
      <color rgb="FF008000"/>
      <name val="Arial"/>
      <family val="2"/>
    </font>
    <font>
      <sz val="6"/>
      <name val="Arial"/>
      <family val="2"/>
    </font>
    <font>
      <sz val="9"/>
      <color indexed="53"/>
      <name val="Arial"/>
      <family val="2"/>
    </font>
    <font>
      <i/>
      <sz val="9"/>
      <color indexed="53"/>
      <name val="Arial"/>
      <family val="2"/>
    </font>
    <font>
      <vertAlign val="subscript"/>
      <sz val="9"/>
      <name val="Times New Roman"/>
      <family val="1"/>
    </font>
    <font>
      <sz val="10"/>
      <color indexed="53"/>
      <name val="Arial"/>
      <family val="2"/>
    </font>
    <font>
      <vertAlign val="subscript"/>
      <sz val="9"/>
      <name val="Symbol"/>
      <family val="1"/>
      <charset val="2"/>
    </font>
    <font>
      <sz val="1"/>
      <color theme="0" tint="-0.34998626667073579"/>
      <name val="Arial"/>
      <family val="2"/>
    </font>
    <font>
      <sz val="8"/>
      <name val="Symbol"/>
      <family val="1"/>
      <charset val="2"/>
    </font>
    <font>
      <vertAlign val="superscript"/>
      <sz val="8"/>
      <name val="Arial"/>
      <family val="2"/>
    </font>
    <font>
      <sz val="8"/>
      <name val="Italic"/>
    </font>
    <font>
      <b/>
      <sz val="8"/>
      <color indexed="57"/>
      <name val="Arial"/>
      <family val="2"/>
    </font>
    <font>
      <sz val="1"/>
      <color theme="0" tint="-0.34998626667073579"/>
      <name val="Symbol"/>
      <family val="1"/>
      <charset val="2"/>
    </font>
    <font>
      <b/>
      <u/>
      <sz val="9"/>
      <name val="Arial"/>
      <family val="2"/>
    </font>
    <font>
      <vertAlign val="superscript"/>
      <sz val="9"/>
      <name val="Italic"/>
    </font>
    <font>
      <sz val="9"/>
      <color indexed="10"/>
      <name val="Arial"/>
      <family val="2"/>
    </font>
    <font>
      <b/>
      <sz val="1"/>
      <color theme="0" tint="-0.34998626667073579"/>
      <name val="Arial"/>
      <family val="2"/>
    </font>
    <font>
      <sz val="10"/>
      <color indexed="10"/>
      <name val="Arial"/>
      <family val="2"/>
    </font>
    <font>
      <i/>
      <sz val="9"/>
      <color indexed="10"/>
      <name val="Arial"/>
      <family val="2"/>
    </font>
    <font>
      <sz val="14"/>
      <name val="Arial"/>
      <family val="2"/>
    </font>
    <font>
      <u/>
      <sz val="9"/>
      <name val="Arial"/>
      <family val="2"/>
    </font>
    <font>
      <sz val="9"/>
      <color indexed="81"/>
      <name val="Calibri"/>
      <family val="2"/>
    </font>
    <font>
      <sz val="9"/>
      <color indexed="81"/>
      <name val="Arial"/>
      <family val="2"/>
    </font>
    <font>
      <b/>
      <sz val="9"/>
      <color indexed="81"/>
      <name val="Calibri"/>
      <family val="2"/>
    </font>
    <font>
      <b/>
      <sz val="8"/>
      <color indexed="81"/>
      <name val="Tahoma"/>
      <family val="2"/>
    </font>
    <font>
      <sz val="8"/>
      <color indexed="81"/>
      <name val="Tahoma"/>
      <family val="2"/>
    </font>
  </fonts>
  <fills count="7">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indexed="22"/>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1" fillId="0" borderId="0"/>
  </cellStyleXfs>
  <cellXfs count="506">
    <xf numFmtId="0" fontId="0" fillId="0" borderId="0" xfId="0"/>
    <xf numFmtId="0" fontId="1" fillId="2" borderId="0" xfId="2" applyFill="1" applyAlignment="1" applyProtection="1">
      <alignment vertical="center"/>
      <protection hidden="1"/>
    </xf>
    <xf numFmtId="0" fontId="2" fillId="3" borderId="1" xfId="2" applyFont="1" applyFill="1" applyBorder="1" applyAlignment="1" applyProtection="1">
      <alignment vertical="center"/>
      <protection hidden="1"/>
    </xf>
    <xf numFmtId="0" fontId="2" fillId="3" borderId="2" xfId="2" applyFont="1" applyFill="1" applyBorder="1" applyAlignment="1" applyProtection="1">
      <alignment vertical="center"/>
      <protection hidden="1"/>
    </xf>
    <xf numFmtId="0" fontId="2" fillId="3" borderId="2" xfId="2" applyFont="1" applyFill="1" applyBorder="1" applyAlignment="1" applyProtection="1">
      <alignment horizontal="left" vertical="center"/>
      <protection hidden="1"/>
    </xf>
    <xf numFmtId="0" fontId="2" fillId="3" borderId="2" xfId="2" applyFont="1" applyFill="1" applyBorder="1" applyAlignment="1" applyProtection="1">
      <alignment horizontal="right" vertical="center"/>
      <protection hidden="1"/>
    </xf>
    <xf numFmtId="0" fontId="3" fillId="3" borderId="2" xfId="2" applyFont="1" applyFill="1" applyBorder="1" applyAlignment="1" applyProtection="1">
      <alignment horizontal="left" vertical="center" indent="1"/>
      <protection locked="0"/>
    </xf>
    <xf numFmtId="0" fontId="3" fillId="3" borderId="3" xfId="2" applyFont="1" applyFill="1" applyBorder="1" applyAlignment="1" applyProtection="1">
      <alignment horizontal="left" vertical="center" indent="1"/>
      <protection locked="0"/>
    </xf>
    <xf numFmtId="0" fontId="4" fillId="2" borderId="0" xfId="2" applyFont="1" applyFill="1" applyProtection="1">
      <protection hidden="1"/>
    </xf>
    <xf numFmtId="1" fontId="2" fillId="2" borderId="0" xfId="2" applyNumberFormat="1" applyFont="1" applyFill="1" applyAlignment="1" applyProtection="1">
      <alignment horizontal="left" vertical="center"/>
      <protection hidden="1"/>
    </xf>
    <xf numFmtId="0" fontId="1" fillId="2" borderId="0" xfId="2" applyFill="1" applyProtection="1">
      <protection hidden="1"/>
    </xf>
    <xf numFmtId="0" fontId="1" fillId="0" borderId="0" xfId="2" applyAlignment="1" applyProtection="1">
      <alignment vertical="center"/>
      <protection hidden="1"/>
    </xf>
    <xf numFmtId="0" fontId="2" fillId="2" borderId="4" xfId="2" applyFont="1" applyFill="1" applyBorder="1" applyAlignment="1" applyProtection="1">
      <alignment horizontal="center" vertical="center"/>
      <protection hidden="1"/>
    </xf>
    <xf numFmtId="0" fontId="2" fillId="2" borderId="5" xfId="2" applyFont="1" applyFill="1" applyBorder="1" applyAlignment="1" applyProtection="1">
      <alignment horizontal="center" vertical="center"/>
      <protection hidden="1"/>
    </xf>
    <xf numFmtId="0" fontId="2" fillId="2" borderId="6" xfId="2" applyFont="1" applyFill="1" applyBorder="1" applyAlignment="1" applyProtection="1">
      <alignment horizontal="center" vertical="center"/>
      <protection hidden="1"/>
    </xf>
    <xf numFmtId="0" fontId="1" fillId="0" borderId="0" xfId="2" applyProtection="1">
      <protection hidden="1"/>
    </xf>
    <xf numFmtId="0" fontId="1" fillId="0" borderId="0" xfId="2"/>
    <xf numFmtId="0" fontId="2" fillId="3" borderId="7" xfId="2" applyFont="1" applyFill="1" applyBorder="1" applyProtection="1">
      <protection hidden="1"/>
    </xf>
    <xf numFmtId="0" fontId="2" fillId="3" borderId="0" xfId="2" applyFont="1" applyFill="1" applyProtection="1">
      <protection hidden="1"/>
    </xf>
    <xf numFmtId="0" fontId="2" fillId="3" borderId="0" xfId="2" applyFont="1" applyFill="1" applyAlignment="1" applyProtection="1">
      <alignment horizontal="right"/>
      <protection hidden="1"/>
    </xf>
    <xf numFmtId="0" fontId="3" fillId="3" borderId="0" xfId="2" applyFont="1" applyFill="1" applyAlignment="1" applyProtection="1">
      <alignment horizontal="left" vertical="center" indent="1"/>
      <protection locked="0"/>
    </xf>
    <xf numFmtId="0" fontId="3" fillId="3" borderId="8" xfId="2" applyFont="1" applyFill="1" applyBorder="1" applyAlignment="1" applyProtection="1">
      <alignment horizontal="left" vertical="center" indent="1"/>
      <protection locked="0"/>
    </xf>
    <xf numFmtId="0" fontId="5" fillId="2" borderId="0" xfId="2" applyFont="1" applyFill="1" applyProtection="1">
      <protection hidden="1"/>
    </xf>
    <xf numFmtId="0" fontId="1" fillId="0" borderId="7" xfId="2" applyBorder="1" applyAlignment="1" applyProtection="1">
      <alignment vertical="center"/>
      <protection locked="0"/>
    </xf>
    <xf numFmtId="0" fontId="1" fillId="0" borderId="0" xfId="2" applyAlignment="1" applyProtection="1">
      <alignment vertical="center"/>
      <protection locked="0"/>
    </xf>
    <xf numFmtId="0" fontId="1" fillId="0" borderId="8" xfId="2" applyBorder="1" applyAlignment="1" applyProtection="1">
      <alignment vertical="center"/>
      <protection locked="0"/>
    </xf>
    <xf numFmtId="0" fontId="1" fillId="2" borderId="0" xfId="2" applyFill="1" applyAlignment="1" applyProtection="1">
      <alignment horizontal="center" vertical="center"/>
      <protection hidden="1"/>
    </xf>
    <xf numFmtId="0" fontId="2" fillId="3" borderId="9" xfId="2" applyFont="1" applyFill="1" applyBorder="1" applyAlignment="1" applyProtection="1">
      <alignment horizontal="left"/>
      <protection hidden="1"/>
    </xf>
    <xf numFmtId="0" fontId="2" fillId="3" borderId="10" xfId="2" applyFont="1" applyFill="1" applyBorder="1" applyProtection="1">
      <protection hidden="1"/>
    </xf>
    <xf numFmtId="0" fontId="6" fillId="3" borderId="10" xfId="2" applyFont="1" applyFill="1" applyBorder="1" applyProtection="1">
      <protection locked="0"/>
    </xf>
    <xf numFmtId="0" fontId="2" fillId="3" borderId="10" xfId="2" applyFont="1" applyFill="1" applyBorder="1" applyAlignment="1" applyProtection="1">
      <alignment horizontal="right"/>
      <protection hidden="1"/>
    </xf>
    <xf numFmtId="0" fontId="3" fillId="3" borderId="10" xfId="2" applyFont="1" applyFill="1" applyBorder="1" applyAlignment="1" applyProtection="1">
      <alignment horizontal="left" vertical="center" indent="1"/>
      <protection locked="0"/>
    </xf>
    <xf numFmtId="0" fontId="3" fillId="3" borderId="11" xfId="2" applyFont="1" applyFill="1" applyBorder="1" applyAlignment="1" applyProtection="1">
      <alignment horizontal="left" vertical="center" indent="1"/>
      <protection locked="0"/>
    </xf>
    <xf numFmtId="0" fontId="1" fillId="4" borderId="0" xfId="2" applyFill="1" applyProtection="1">
      <protection hidden="1"/>
    </xf>
    <xf numFmtId="0" fontId="4" fillId="4" borderId="0" xfId="2" applyFont="1" applyFill="1" applyProtection="1">
      <protection hidden="1"/>
    </xf>
    <xf numFmtId="0" fontId="1" fillId="4" borderId="0" xfId="2" applyFill="1" applyAlignment="1" applyProtection="1">
      <alignment vertical="center"/>
      <protection hidden="1"/>
    </xf>
    <xf numFmtId="0" fontId="4" fillId="2" borderId="1" xfId="2" applyFont="1" applyFill="1" applyBorder="1" applyProtection="1">
      <protection hidden="1"/>
    </xf>
    <xf numFmtId="0" fontId="1" fillId="2" borderId="2" xfId="2" applyFill="1" applyBorder="1" applyProtection="1">
      <protection hidden="1"/>
    </xf>
    <xf numFmtId="0" fontId="1" fillId="2" borderId="3" xfId="2" applyFill="1" applyBorder="1" applyProtection="1">
      <protection hidden="1"/>
    </xf>
    <xf numFmtId="0" fontId="7" fillId="2" borderId="0" xfId="2" applyFont="1" applyFill="1" applyAlignment="1" applyProtection="1">
      <alignment vertical="center"/>
      <protection hidden="1"/>
    </xf>
    <xf numFmtId="0" fontId="8" fillId="2" borderId="0" xfId="2" applyFont="1" applyFill="1" applyAlignment="1" applyProtection="1">
      <alignment horizontal="right"/>
      <protection hidden="1"/>
    </xf>
    <xf numFmtId="0" fontId="2" fillId="4" borderId="1" xfId="2" applyFont="1" applyFill="1" applyBorder="1" applyAlignment="1" applyProtection="1">
      <alignment vertical="center"/>
      <protection hidden="1"/>
    </xf>
    <xf numFmtId="0" fontId="1" fillId="4" borderId="2" xfId="2" applyFill="1" applyBorder="1" applyAlignment="1" applyProtection="1">
      <alignment vertical="center"/>
      <protection hidden="1"/>
    </xf>
    <xf numFmtId="1" fontId="3" fillId="4" borderId="2" xfId="2" applyNumberFormat="1" applyFont="1" applyFill="1" applyBorder="1" applyAlignment="1" applyProtection="1">
      <alignment vertical="center"/>
      <protection locked="0"/>
    </xf>
    <xf numFmtId="1" fontId="3" fillId="4" borderId="3" xfId="2" applyNumberFormat="1" applyFont="1" applyFill="1" applyBorder="1" applyAlignment="1" applyProtection="1">
      <alignment vertical="center"/>
      <protection locked="0"/>
    </xf>
    <xf numFmtId="0" fontId="7" fillId="4" borderId="1" xfId="2" applyFont="1" applyFill="1" applyBorder="1" applyAlignment="1" applyProtection="1">
      <alignment horizontal="left" vertical="center" wrapText="1"/>
      <protection hidden="1"/>
    </xf>
    <xf numFmtId="0" fontId="7" fillId="4" borderId="2" xfId="2" applyFont="1" applyFill="1" applyBorder="1" applyAlignment="1" applyProtection="1">
      <alignment horizontal="left" vertical="center" wrapText="1"/>
      <protection hidden="1"/>
    </xf>
    <xf numFmtId="0" fontId="7" fillId="4" borderId="3" xfId="2" applyFont="1" applyFill="1" applyBorder="1" applyAlignment="1" applyProtection="1">
      <alignment horizontal="left" vertical="center" wrapText="1"/>
      <protection hidden="1"/>
    </xf>
    <xf numFmtId="0" fontId="7" fillId="5" borderId="1" xfId="2" applyFont="1" applyFill="1" applyBorder="1" applyAlignment="1" applyProtection="1">
      <alignment horizontal="left" vertical="top" wrapText="1"/>
      <protection hidden="1"/>
    </xf>
    <xf numFmtId="0" fontId="7" fillId="5" borderId="2" xfId="2" applyFont="1" applyFill="1" applyBorder="1" applyAlignment="1" applyProtection="1">
      <alignment horizontal="left" vertical="top" wrapText="1"/>
      <protection hidden="1"/>
    </xf>
    <xf numFmtId="0" fontId="7" fillId="5" borderId="3" xfId="2" applyFont="1" applyFill="1" applyBorder="1" applyAlignment="1" applyProtection="1">
      <alignment horizontal="left" vertical="top" wrapText="1"/>
      <protection hidden="1"/>
    </xf>
    <xf numFmtId="0" fontId="2" fillId="4" borderId="9" xfId="2" applyFont="1" applyFill="1" applyBorder="1" applyAlignment="1" applyProtection="1">
      <alignment vertical="center"/>
      <protection hidden="1"/>
    </xf>
    <xf numFmtId="0" fontId="1" fillId="4" borderId="10" xfId="2" applyFill="1" applyBorder="1" applyAlignment="1" applyProtection="1">
      <alignment vertical="center"/>
      <protection hidden="1"/>
    </xf>
    <xf numFmtId="1" fontId="3" fillId="4" borderId="10" xfId="2" applyNumberFormat="1" applyFont="1" applyFill="1" applyBorder="1" applyAlignment="1" applyProtection="1">
      <alignment vertical="center"/>
      <protection locked="0"/>
    </xf>
    <xf numFmtId="1" fontId="3" fillId="4" borderId="11" xfId="2" applyNumberFormat="1" applyFont="1" applyFill="1" applyBorder="1" applyAlignment="1" applyProtection="1">
      <alignment vertical="center"/>
      <protection locked="0"/>
    </xf>
    <xf numFmtId="0" fontId="7" fillId="4" borderId="9" xfId="2" applyFont="1" applyFill="1" applyBorder="1" applyAlignment="1" applyProtection="1">
      <alignment horizontal="left" vertical="center" wrapText="1"/>
      <protection hidden="1"/>
    </xf>
    <xf numFmtId="0" fontId="7" fillId="4" borderId="10" xfId="2" applyFont="1" applyFill="1" applyBorder="1" applyAlignment="1" applyProtection="1">
      <alignment horizontal="left" vertical="center" wrapText="1"/>
      <protection hidden="1"/>
    </xf>
    <xf numFmtId="0" fontId="7" fillId="4" borderId="11" xfId="2" applyFont="1" applyFill="1" applyBorder="1" applyAlignment="1" applyProtection="1">
      <alignment horizontal="left" vertical="center" wrapText="1"/>
      <protection hidden="1"/>
    </xf>
    <xf numFmtId="0" fontId="5" fillId="2" borderId="0" xfId="2" applyFont="1" applyFill="1" applyAlignment="1" applyProtection="1">
      <alignment horizontal="center"/>
      <protection hidden="1"/>
    </xf>
    <xf numFmtId="0" fontId="7" fillId="5" borderId="9" xfId="2" applyFont="1" applyFill="1" applyBorder="1" applyAlignment="1" applyProtection="1">
      <alignment horizontal="left" vertical="top" wrapText="1"/>
      <protection hidden="1"/>
    </xf>
    <xf numFmtId="0" fontId="7" fillId="5" borderId="10" xfId="2" applyFont="1" applyFill="1" applyBorder="1" applyAlignment="1" applyProtection="1">
      <alignment horizontal="left" vertical="top" wrapText="1"/>
      <protection hidden="1"/>
    </xf>
    <xf numFmtId="0" fontId="7" fillId="5" borderId="11" xfId="2" applyFont="1" applyFill="1" applyBorder="1" applyAlignment="1" applyProtection="1">
      <alignment horizontal="left" vertical="top" wrapText="1"/>
      <protection hidden="1"/>
    </xf>
    <xf numFmtId="0" fontId="5" fillId="2" borderId="0" xfId="2" applyFont="1" applyFill="1" applyAlignment="1" applyProtection="1">
      <alignment vertical="center"/>
      <protection hidden="1"/>
    </xf>
    <xf numFmtId="0" fontId="5" fillId="2" borderId="0" xfId="2" applyFont="1" applyFill="1" applyAlignment="1" applyProtection="1">
      <alignment horizontal="center" vertical="center" wrapText="1"/>
      <protection hidden="1"/>
    </xf>
    <xf numFmtId="0" fontId="8" fillId="2" borderId="0" xfId="2" applyFont="1" applyFill="1" applyAlignment="1" applyProtection="1">
      <alignment horizontal="center"/>
      <protection hidden="1"/>
    </xf>
    <xf numFmtId="0" fontId="2" fillId="4" borderId="1" xfId="2" applyFont="1" applyFill="1" applyBorder="1" applyProtection="1">
      <protection hidden="1"/>
    </xf>
    <xf numFmtId="0" fontId="4" fillId="4" borderId="2" xfId="2" applyFont="1" applyFill="1" applyBorder="1" applyAlignment="1" applyProtection="1">
      <alignment horizontal="center" vertical="center"/>
      <protection hidden="1"/>
    </xf>
    <xf numFmtId="0" fontId="5" fillId="4" borderId="3" xfId="2" applyFont="1" applyFill="1" applyBorder="1" applyAlignment="1" applyProtection="1">
      <alignment vertical="center" wrapText="1"/>
      <protection hidden="1"/>
    </xf>
    <xf numFmtId="0" fontId="2" fillId="4" borderId="7" xfId="2" applyFont="1" applyFill="1" applyBorder="1" applyAlignment="1" applyProtection="1">
      <alignment horizontal="left" vertical="center"/>
      <protection hidden="1"/>
    </xf>
    <xf numFmtId="0" fontId="2" fillId="4" borderId="0" xfId="2" applyFont="1" applyFill="1" applyAlignment="1" applyProtection="1">
      <alignment horizontal="left" vertical="center"/>
      <protection hidden="1"/>
    </xf>
    <xf numFmtId="0" fontId="2" fillId="4" borderId="8" xfId="2" applyFont="1" applyFill="1" applyBorder="1" applyAlignment="1" applyProtection="1">
      <alignment horizontal="left" vertical="center"/>
      <protection hidden="1"/>
    </xf>
    <xf numFmtId="0" fontId="2" fillId="2" borderId="0" xfId="2" applyFont="1" applyFill="1" applyAlignment="1" applyProtection="1">
      <alignment horizontal="center" vertical="center"/>
      <protection hidden="1"/>
    </xf>
    <xf numFmtId="2" fontId="5" fillId="2" borderId="0" xfId="2" applyNumberFormat="1" applyFont="1" applyFill="1" applyAlignment="1" applyProtection="1">
      <alignment horizontal="center" vertical="center"/>
      <protection hidden="1"/>
    </xf>
    <xf numFmtId="1" fontId="3" fillId="4" borderId="0" xfId="2" applyNumberFormat="1" applyFont="1" applyFill="1" applyAlignment="1" applyProtection="1">
      <alignment horizontal="center" vertical="center"/>
      <protection locked="0"/>
    </xf>
    <xf numFmtId="0" fontId="5" fillId="4" borderId="7" xfId="2" applyFont="1" applyFill="1" applyBorder="1" applyAlignment="1" applyProtection="1">
      <alignment horizontal="left" vertical="center"/>
      <protection hidden="1"/>
    </xf>
    <xf numFmtId="0" fontId="5" fillId="4" borderId="0" xfId="2" applyFont="1" applyFill="1" applyAlignment="1" applyProtection="1">
      <alignment horizontal="left" vertical="center"/>
      <protection hidden="1"/>
    </xf>
    <xf numFmtId="0" fontId="5" fillId="4" borderId="0" xfId="2" applyFont="1" applyFill="1" applyAlignment="1" applyProtection="1">
      <alignment horizontal="center" vertical="center"/>
      <protection hidden="1"/>
    </xf>
    <xf numFmtId="0" fontId="5" fillId="4" borderId="0" xfId="2" applyFont="1" applyFill="1" applyAlignment="1" applyProtection="1">
      <alignment horizontal="right" indent="1"/>
      <protection hidden="1"/>
    </xf>
    <xf numFmtId="0" fontId="5" fillId="4" borderId="8" xfId="2" applyFont="1" applyFill="1" applyBorder="1" applyAlignment="1" applyProtection="1">
      <alignment horizontal="left" vertical="center"/>
      <protection hidden="1"/>
    </xf>
    <xf numFmtId="0" fontId="2" fillId="2" borderId="0" xfId="2" applyFont="1" applyFill="1" applyAlignment="1" applyProtection="1">
      <alignment horizontal="left"/>
      <protection hidden="1"/>
    </xf>
    <xf numFmtId="0" fontId="10" fillId="2" borderId="10" xfId="2" applyFont="1" applyFill="1" applyBorder="1" applyAlignment="1" applyProtection="1">
      <alignment vertical="center"/>
      <protection hidden="1"/>
    </xf>
    <xf numFmtId="0" fontId="10" fillId="2" borderId="12" xfId="2" applyFont="1" applyFill="1" applyBorder="1" applyAlignment="1" applyProtection="1">
      <alignment horizontal="center" vertical="center"/>
      <protection hidden="1"/>
    </xf>
    <xf numFmtId="0" fontId="10" fillId="2" borderId="13" xfId="2" applyFont="1" applyFill="1" applyBorder="1" applyAlignment="1" applyProtection="1">
      <alignment horizontal="center" vertical="center"/>
      <protection hidden="1"/>
    </xf>
    <xf numFmtId="0" fontId="10" fillId="2" borderId="14" xfId="2" applyFont="1" applyFill="1" applyBorder="1" applyAlignment="1" applyProtection="1">
      <alignment horizontal="center" vertical="center"/>
      <protection hidden="1"/>
    </xf>
    <xf numFmtId="0" fontId="10" fillId="2" borderId="15" xfId="2" applyFont="1" applyFill="1" applyBorder="1" applyAlignment="1" applyProtection="1">
      <alignment horizontal="center" vertical="center"/>
      <protection hidden="1"/>
    </xf>
    <xf numFmtId="0" fontId="8" fillId="2" borderId="0" xfId="2" applyFont="1" applyFill="1" applyAlignment="1" applyProtection="1">
      <alignment horizontal="center"/>
      <protection hidden="1"/>
    </xf>
    <xf numFmtId="0" fontId="2" fillId="4" borderId="7" xfId="2" applyFont="1" applyFill="1" applyBorder="1" applyAlignment="1" applyProtection="1">
      <alignment vertical="center"/>
      <protection hidden="1"/>
    </xf>
    <xf numFmtId="1" fontId="5" fillId="4" borderId="0" xfId="2" applyNumberFormat="1" applyFont="1" applyFill="1" applyAlignment="1" applyProtection="1">
      <alignment horizontal="right" indent="1"/>
      <protection hidden="1"/>
    </xf>
    <xf numFmtId="0" fontId="5" fillId="2" borderId="0" xfId="2" applyFont="1" applyFill="1" applyAlignment="1" applyProtection="1">
      <alignment horizontal="left"/>
      <protection hidden="1"/>
    </xf>
    <xf numFmtId="0" fontId="2" fillId="2" borderId="12" xfId="2" applyFont="1" applyFill="1" applyBorder="1" applyAlignment="1" applyProtection="1">
      <alignment vertical="center"/>
      <protection hidden="1"/>
    </xf>
    <xf numFmtId="0" fontId="2" fillId="2" borderId="13" xfId="2" applyFont="1" applyFill="1" applyBorder="1" applyAlignment="1" applyProtection="1">
      <alignment vertical="center"/>
      <protection hidden="1"/>
    </xf>
    <xf numFmtId="0" fontId="2" fillId="2" borderId="14" xfId="2" applyFont="1" applyFill="1" applyBorder="1" applyAlignment="1" applyProtection="1">
      <alignment vertical="center"/>
      <protection hidden="1"/>
    </xf>
    <xf numFmtId="2" fontId="5" fillId="2" borderId="0" xfId="2" applyNumberFormat="1" applyFont="1" applyFill="1" applyProtection="1">
      <protection hidden="1"/>
    </xf>
    <xf numFmtId="0" fontId="12" fillId="4" borderId="12" xfId="2" applyFont="1" applyFill="1" applyBorder="1" applyProtection="1">
      <protection hidden="1"/>
    </xf>
    <xf numFmtId="0" fontId="1" fillId="4" borderId="13" xfId="2" applyFill="1" applyBorder="1" applyAlignment="1" applyProtection="1">
      <alignment vertical="center"/>
      <protection hidden="1"/>
    </xf>
    <xf numFmtId="2" fontId="3" fillId="4" borderId="13" xfId="2" applyNumberFormat="1" applyFont="1" applyFill="1" applyBorder="1" applyAlignment="1" applyProtection="1">
      <alignment horizontal="center"/>
      <protection locked="0"/>
    </xf>
    <xf numFmtId="0" fontId="2" fillId="4" borderId="14" xfId="2" applyFont="1" applyFill="1" applyBorder="1" applyAlignment="1" applyProtection="1">
      <alignment horizontal="left"/>
      <protection hidden="1"/>
    </xf>
    <xf numFmtId="0" fontId="5" fillId="4" borderId="8" xfId="2" applyFont="1" applyFill="1" applyBorder="1" applyAlignment="1" applyProtection="1">
      <alignment vertical="center"/>
      <protection hidden="1"/>
    </xf>
    <xf numFmtId="0" fontId="2" fillId="2" borderId="7" xfId="2" applyFont="1" applyFill="1" applyBorder="1" applyAlignment="1" applyProtection="1">
      <alignment horizontal="left"/>
      <protection hidden="1"/>
    </xf>
    <xf numFmtId="0" fontId="2" fillId="2" borderId="0" xfId="2" applyFont="1" applyFill="1" applyAlignment="1" applyProtection="1">
      <alignment horizontal="left"/>
      <protection hidden="1"/>
    </xf>
    <xf numFmtId="0" fontId="2" fillId="2" borderId="8" xfId="2" applyFont="1" applyFill="1" applyBorder="1" applyAlignment="1" applyProtection="1">
      <alignment horizontal="left"/>
      <protection hidden="1"/>
    </xf>
    <xf numFmtId="0" fontId="1" fillId="2" borderId="16" xfId="2" applyFill="1" applyBorder="1" applyProtection="1">
      <protection hidden="1"/>
    </xf>
    <xf numFmtId="0" fontId="2" fillId="2" borderId="1" xfId="2" applyFont="1" applyFill="1" applyBorder="1" applyAlignment="1" applyProtection="1">
      <alignment horizontal="left"/>
      <protection hidden="1"/>
    </xf>
    <xf numFmtId="0" fontId="2" fillId="2" borderId="2" xfId="2" applyFont="1" applyFill="1" applyBorder="1" applyAlignment="1" applyProtection="1">
      <alignment horizontal="left"/>
      <protection hidden="1"/>
    </xf>
    <xf numFmtId="0" fontId="2" fillId="2" borderId="3" xfId="2" applyFont="1" applyFill="1" applyBorder="1" applyAlignment="1" applyProtection="1">
      <alignment horizontal="left"/>
      <protection hidden="1"/>
    </xf>
    <xf numFmtId="2" fontId="3" fillId="4" borderId="0" xfId="2" applyNumberFormat="1" applyFont="1" applyFill="1" applyAlignment="1" applyProtection="1">
      <alignment horizontal="center" vertical="center"/>
      <protection locked="0"/>
    </xf>
    <xf numFmtId="0" fontId="5" fillId="2" borderId="7" xfId="2" applyFont="1" applyFill="1" applyBorder="1" applyAlignment="1" applyProtection="1">
      <alignment horizontal="left" vertical="center"/>
      <protection hidden="1"/>
    </xf>
    <xf numFmtId="0" fontId="5" fillId="2" borderId="0" xfId="2" applyFont="1" applyFill="1" applyAlignment="1" applyProtection="1">
      <alignment horizontal="left" vertical="center"/>
      <protection hidden="1"/>
    </xf>
    <xf numFmtId="0" fontId="5" fillId="2" borderId="0" xfId="2" applyFont="1" applyFill="1" applyAlignment="1" applyProtection="1">
      <alignment horizontal="center" vertical="center"/>
      <protection hidden="1"/>
    </xf>
    <xf numFmtId="0" fontId="5" fillId="2" borderId="8" xfId="2" applyFont="1" applyFill="1" applyBorder="1" applyAlignment="1" applyProtection="1">
      <alignment horizontal="left"/>
      <protection hidden="1"/>
    </xf>
    <xf numFmtId="1" fontId="5" fillId="2" borderId="17" xfId="2" applyNumberFormat="1" applyFont="1" applyFill="1" applyBorder="1" applyAlignment="1" applyProtection="1">
      <alignment horizontal="center"/>
      <protection hidden="1"/>
    </xf>
    <xf numFmtId="2" fontId="2" fillId="4" borderId="0" xfId="2" applyNumberFormat="1" applyFont="1" applyFill="1" applyAlignment="1" applyProtection="1">
      <alignment horizontal="center" vertical="center"/>
      <protection hidden="1"/>
    </xf>
    <xf numFmtId="0" fontId="2" fillId="4" borderId="0" xfId="2" applyFont="1" applyFill="1" applyAlignment="1" applyProtection="1">
      <alignment horizontal="right" indent="1"/>
      <protection hidden="1"/>
    </xf>
    <xf numFmtId="0" fontId="5" fillId="2" borderId="8" xfId="2" applyFont="1" applyFill="1" applyBorder="1" applyProtection="1">
      <protection hidden="1"/>
    </xf>
    <xf numFmtId="0" fontId="1" fillId="4" borderId="3" xfId="2" applyFill="1" applyBorder="1" applyAlignment="1" applyProtection="1">
      <alignment horizontal="left" vertical="center"/>
      <protection hidden="1"/>
    </xf>
    <xf numFmtId="2" fontId="5" fillId="4" borderId="0" xfId="2" applyNumberFormat="1" applyFont="1" applyFill="1" applyAlignment="1" applyProtection="1">
      <alignment horizontal="right" indent="1"/>
      <protection hidden="1"/>
    </xf>
    <xf numFmtId="0" fontId="5" fillId="2" borderId="11" xfId="2" applyFont="1" applyFill="1" applyBorder="1" applyAlignment="1" applyProtection="1">
      <alignment horizontal="left"/>
      <protection hidden="1"/>
    </xf>
    <xf numFmtId="1" fontId="5" fillId="2" borderId="18" xfId="2" applyNumberFormat="1" applyFont="1" applyFill="1" applyBorder="1" applyAlignment="1" applyProtection="1">
      <alignment horizontal="center"/>
      <protection hidden="1"/>
    </xf>
    <xf numFmtId="0" fontId="1" fillId="2" borderId="17" xfId="2" applyFill="1" applyBorder="1" applyAlignment="1" applyProtection="1">
      <alignment horizontal="center"/>
      <protection hidden="1"/>
    </xf>
    <xf numFmtId="0" fontId="16" fillId="2" borderId="17" xfId="2" applyFont="1" applyFill="1" applyBorder="1" applyAlignment="1" applyProtection="1">
      <alignment horizontal="center"/>
      <protection hidden="1"/>
    </xf>
    <xf numFmtId="0" fontId="5" fillId="2" borderId="7" xfId="2" applyFont="1" applyFill="1" applyBorder="1" applyAlignment="1" applyProtection="1">
      <alignment horizontal="left"/>
      <protection hidden="1"/>
    </xf>
    <xf numFmtId="0" fontId="5" fillId="2" borderId="0" xfId="2" applyFont="1" applyFill="1" applyAlignment="1" applyProtection="1">
      <alignment horizontal="left"/>
      <protection hidden="1"/>
    </xf>
    <xf numFmtId="2" fontId="5" fillId="2" borderId="17" xfId="2" applyNumberFormat="1" applyFont="1" applyFill="1" applyBorder="1" applyAlignment="1" applyProtection="1">
      <alignment horizontal="center"/>
      <protection hidden="1"/>
    </xf>
    <xf numFmtId="1" fontId="3" fillId="5" borderId="0" xfId="2" applyNumberFormat="1" applyFont="1" applyFill="1" applyAlignment="1" applyProtection="1">
      <alignment horizontal="center" vertical="center"/>
      <protection locked="0" hidden="1"/>
    </xf>
    <xf numFmtId="0" fontId="2" fillId="4" borderId="7" xfId="2" applyFont="1" applyFill="1" applyBorder="1" applyProtection="1">
      <protection hidden="1"/>
    </xf>
    <xf numFmtId="2" fontId="3" fillId="4" borderId="0" xfId="2" applyNumberFormat="1" applyFont="1" applyFill="1" applyAlignment="1" applyProtection="1">
      <alignment horizontal="center"/>
      <protection locked="0"/>
    </xf>
    <xf numFmtId="0" fontId="2" fillId="4" borderId="8" xfId="2" applyFont="1" applyFill="1" applyBorder="1" applyAlignment="1" applyProtection="1">
      <alignment horizontal="left"/>
      <protection hidden="1"/>
    </xf>
    <xf numFmtId="0" fontId="17" fillId="4" borderId="2" xfId="2" applyFont="1" applyFill="1" applyBorder="1" applyAlignment="1" applyProtection="1">
      <alignment vertical="center"/>
      <protection hidden="1"/>
    </xf>
    <xf numFmtId="2" fontId="18" fillId="4" borderId="2" xfId="2" applyNumberFormat="1" applyFont="1" applyFill="1" applyBorder="1" applyAlignment="1" applyProtection="1">
      <alignment horizontal="right" vertical="center" indent="1"/>
      <protection hidden="1"/>
    </xf>
    <xf numFmtId="0" fontId="5" fillId="4" borderId="2" xfId="2" applyFont="1" applyFill="1" applyBorder="1" applyAlignment="1" applyProtection="1">
      <alignment horizontal="left" vertical="center"/>
      <protection hidden="1"/>
    </xf>
    <xf numFmtId="0" fontId="1" fillId="4" borderId="3" xfId="2" applyFill="1" applyBorder="1" applyAlignment="1" applyProtection="1">
      <alignment vertical="center"/>
      <protection hidden="1"/>
    </xf>
    <xf numFmtId="0" fontId="5" fillId="4" borderId="7" xfId="2" applyFont="1" applyFill="1" applyBorder="1" applyAlignment="1" applyProtection="1">
      <alignment vertical="center"/>
      <protection hidden="1"/>
    </xf>
    <xf numFmtId="2" fontId="3" fillId="4" borderId="10" xfId="2" applyNumberFormat="1" applyFont="1" applyFill="1" applyBorder="1" applyAlignment="1" applyProtection="1">
      <alignment horizontal="center"/>
      <protection locked="0"/>
    </xf>
    <xf numFmtId="0" fontId="1" fillId="4" borderId="8" xfId="2" applyFill="1" applyBorder="1" applyAlignment="1" applyProtection="1">
      <alignment vertical="center"/>
      <protection hidden="1"/>
    </xf>
    <xf numFmtId="0" fontId="2" fillId="4" borderId="9" xfId="2" applyFont="1" applyFill="1" applyBorder="1" applyProtection="1">
      <protection hidden="1"/>
    </xf>
    <xf numFmtId="0" fontId="2" fillId="4" borderId="11" xfId="2" applyFont="1" applyFill="1" applyBorder="1" applyAlignment="1" applyProtection="1">
      <alignment horizontal="left"/>
      <protection hidden="1"/>
    </xf>
    <xf numFmtId="0" fontId="19" fillId="4" borderId="1" xfId="2" applyFont="1" applyFill="1" applyBorder="1" applyAlignment="1" applyProtection="1">
      <alignment vertical="center"/>
      <protection hidden="1"/>
    </xf>
    <xf numFmtId="0" fontId="21" fillId="4" borderId="2" xfId="2" applyFont="1" applyFill="1" applyBorder="1" applyAlignment="1" applyProtection="1">
      <alignment vertical="center"/>
      <protection hidden="1"/>
    </xf>
    <xf numFmtId="0" fontId="5" fillId="4" borderId="2" xfId="2" applyFont="1" applyFill="1" applyBorder="1" applyAlignment="1" applyProtection="1">
      <alignment horizontal="center" vertical="center"/>
      <protection hidden="1"/>
    </xf>
    <xf numFmtId="2" fontId="5" fillId="4" borderId="2" xfId="2" applyNumberFormat="1" applyFont="1" applyFill="1" applyBorder="1" applyAlignment="1" applyProtection="1">
      <alignment horizontal="right" vertical="center" indent="1"/>
      <protection hidden="1"/>
    </xf>
    <xf numFmtId="0" fontId="5" fillId="4" borderId="3" xfId="2" applyFont="1" applyFill="1" applyBorder="1" applyAlignment="1" applyProtection="1">
      <alignment horizontal="left" vertical="center"/>
      <protection hidden="1"/>
    </xf>
    <xf numFmtId="0" fontId="5" fillId="2" borderId="9" xfId="2" applyFont="1" applyFill="1" applyBorder="1" applyAlignment="1" applyProtection="1">
      <alignment horizontal="left"/>
      <protection hidden="1"/>
    </xf>
    <xf numFmtId="0" fontId="5" fillId="2" borderId="10" xfId="2" applyFont="1" applyFill="1" applyBorder="1" applyAlignment="1" applyProtection="1">
      <alignment horizontal="left"/>
      <protection hidden="1"/>
    </xf>
    <xf numFmtId="0" fontId="5" fillId="2" borderId="10" xfId="2" applyFont="1" applyFill="1" applyBorder="1" applyAlignment="1" applyProtection="1">
      <alignment horizontal="center" vertical="center"/>
      <protection hidden="1"/>
    </xf>
    <xf numFmtId="0" fontId="7" fillId="2" borderId="10" xfId="2" applyFont="1" applyFill="1" applyBorder="1" applyAlignment="1" applyProtection="1">
      <alignment vertical="center"/>
      <protection hidden="1"/>
    </xf>
    <xf numFmtId="1" fontId="5" fillId="2" borderId="0" xfId="2" applyNumberFormat="1" applyFont="1" applyFill="1" applyAlignment="1" applyProtection="1">
      <alignment horizontal="center" vertical="center"/>
      <protection locked="0" hidden="1"/>
    </xf>
    <xf numFmtId="0" fontId="2" fillId="4" borderId="0" xfId="2" applyFont="1" applyFill="1" applyAlignment="1" applyProtection="1">
      <alignment vertical="center"/>
      <protection hidden="1"/>
    </xf>
    <xf numFmtId="1" fontId="3" fillId="4" borderId="0" xfId="2" applyNumberFormat="1" applyFont="1" applyFill="1" applyAlignment="1" applyProtection="1">
      <alignment horizontal="left" vertical="center"/>
      <protection locked="0"/>
    </xf>
    <xf numFmtId="0" fontId="19" fillId="4" borderId="7" xfId="2" applyFont="1" applyFill="1" applyBorder="1" applyAlignment="1" applyProtection="1">
      <alignment vertical="center"/>
      <protection hidden="1"/>
    </xf>
    <xf numFmtId="2" fontId="5" fillId="4" borderId="0" xfId="2" applyNumberFormat="1" applyFont="1" applyFill="1" applyAlignment="1" applyProtection="1">
      <alignment horizontal="right" vertical="center" indent="1"/>
      <protection hidden="1"/>
    </xf>
    <xf numFmtId="0" fontId="22" fillId="0" borderId="12" xfId="2" applyFont="1" applyBorder="1" applyAlignment="1" applyProtection="1">
      <alignment horizontal="center" vertical="center"/>
      <protection hidden="1"/>
    </xf>
    <xf numFmtId="0" fontId="22" fillId="0" borderId="13" xfId="2" applyFont="1" applyBorder="1" applyAlignment="1" applyProtection="1">
      <alignment horizontal="center" vertical="center"/>
      <protection hidden="1"/>
    </xf>
    <xf numFmtId="0" fontId="22" fillId="2" borderId="14" xfId="2" applyFont="1" applyFill="1" applyBorder="1" applyAlignment="1" applyProtection="1">
      <alignment horizontal="center"/>
      <protection hidden="1"/>
    </xf>
    <xf numFmtId="1" fontId="5" fillId="2" borderId="0" xfId="2" applyNumberFormat="1" applyFont="1" applyFill="1" applyAlignment="1" applyProtection="1">
      <alignment horizontal="center" vertical="center"/>
      <protection hidden="1"/>
    </xf>
    <xf numFmtId="0" fontId="4" fillId="4" borderId="0" xfId="2" applyFont="1" applyFill="1" applyAlignment="1" applyProtection="1">
      <alignment vertical="center"/>
      <protection hidden="1"/>
    </xf>
    <xf numFmtId="1" fontId="3" fillId="4" borderId="0" xfId="2" applyNumberFormat="1" applyFont="1" applyFill="1" applyAlignment="1" applyProtection="1">
      <alignment vertical="center"/>
      <protection locked="0"/>
    </xf>
    <xf numFmtId="1" fontId="3" fillId="4" borderId="8" xfId="2" applyNumberFormat="1" applyFont="1" applyFill="1" applyBorder="1" applyAlignment="1" applyProtection="1">
      <alignment vertical="center"/>
      <protection locked="0"/>
    </xf>
    <xf numFmtId="0" fontId="19" fillId="4" borderId="9" xfId="2" applyFont="1" applyFill="1" applyBorder="1" applyAlignment="1" applyProtection="1">
      <alignment vertical="center"/>
      <protection hidden="1"/>
    </xf>
    <xf numFmtId="0" fontId="5" fillId="4" borderId="10" xfId="2" applyFont="1" applyFill="1" applyBorder="1" applyAlignment="1" applyProtection="1">
      <alignment vertical="center"/>
      <protection hidden="1"/>
    </xf>
    <xf numFmtId="0" fontId="5" fillId="4" borderId="10" xfId="2" applyFont="1" applyFill="1" applyBorder="1" applyAlignment="1" applyProtection="1">
      <alignment horizontal="center" vertical="center"/>
      <protection hidden="1"/>
    </xf>
    <xf numFmtId="2" fontId="5" fillId="4" borderId="10" xfId="2" applyNumberFormat="1" applyFont="1" applyFill="1" applyBorder="1" applyAlignment="1" applyProtection="1">
      <alignment horizontal="right" vertical="center" indent="1"/>
      <protection hidden="1"/>
    </xf>
    <xf numFmtId="0" fontId="5" fillId="4" borderId="11" xfId="2" applyFont="1" applyFill="1" applyBorder="1" applyAlignment="1" applyProtection="1">
      <alignment horizontal="left" vertical="center"/>
      <protection hidden="1"/>
    </xf>
    <xf numFmtId="0" fontId="23" fillId="2" borderId="12" xfId="2" applyFont="1" applyFill="1" applyBorder="1" applyAlignment="1" applyProtection="1">
      <alignment horizontal="center"/>
      <protection hidden="1"/>
    </xf>
    <xf numFmtId="0" fontId="23" fillId="2" borderId="14" xfId="2" applyFont="1" applyFill="1" applyBorder="1" applyAlignment="1" applyProtection="1">
      <alignment horizontal="center"/>
      <protection hidden="1"/>
    </xf>
    <xf numFmtId="0" fontId="22" fillId="2" borderId="0" xfId="2" applyFont="1" applyFill="1" applyAlignment="1" applyProtection="1">
      <alignment horizontal="center"/>
      <protection hidden="1"/>
    </xf>
    <xf numFmtId="0" fontId="23" fillId="2" borderId="15" xfId="2" applyFont="1" applyFill="1" applyBorder="1" applyAlignment="1" applyProtection="1">
      <alignment horizontal="center"/>
      <protection hidden="1"/>
    </xf>
    <xf numFmtId="0" fontId="5" fillId="0" borderId="0" xfId="2" applyFont="1" applyAlignment="1" applyProtection="1">
      <alignment vertical="center"/>
      <protection hidden="1"/>
    </xf>
    <xf numFmtId="0" fontId="1" fillId="4" borderId="1" xfId="2" applyFill="1" applyBorder="1" applyProtection="1">
      <protection hidden="1"/>
    </xf>
    <xf numFmtId="1" fontId="3" fillId="4" borderId="2" xfId="2" applyNumberFormat="1" applyFont="1" applyFill="1" applyBorder="1" applyAlignment="1" applyProtection="1">
      <alignment horizontal="center" vertical="center"/>
      <protection locked="0"/>
    </xf>
    <xf numFmtId="0" fontId="1" fillId="4" borderId="2" xfId="2" applyFill="1" applyBorder="1" applyProtection="1">
      <protection hidden="1"/>
    </xf>
    <xf numFmtId="164" fontId="3" fillId="4" borderId="2" xfId="2" applyNumberFormat="1" applyFont="1" applyFill="1" applyBorder="1" applyAlignment="1" applyProtection="1">
      <alignment horizontal="right"/>
      <protection locked="0"/>
    </xf>
    <xf numFmtId="0" fontId="5" fillId="4" borderId="2" xfId="2" applyFont="1" applyFill="1" applyBorder="1" applyAlignment="1" applyProtection="1">
      <alignment vertical="center"/>
      <protection hidden="1"/>
    </xf>
    <xf numFmtId="0" fontId="5" fillId="4" borderId="2" xfId="2" applyFont="1" applyFill="1" applyBorder="1" applyAlignment="1" applyProtection="1">
      <alignment horizontal="right" vertical="center"/>
      <protection hidden="1"/>
    </xf>
    <xf numFmtId="0" fontId="3" fillId="4" borderId="2" xfId="2" applyFont="1" applyFill="1" applyBorder="1" applyAlignment="1" applyProtection="1">
      <alignment horizontal="center" vertical="center"/>
      <protection locked="0"/>
    </xf>
    <xf numFmtId="0" fontId="2" fillId="4" borderId="3" xfId="2" applyFont="1" applyFill="1" applyBorder="1" applyAlignment="1" applyProtection="1">
      <alignment vertical="center"/>
      <protection hidden="1"/>
    </xf>
    <xf numFmtId="0" fontId="23" fillId="2" borderId="12" xfId="2" applyFont="1" applyFill="1" applyBorder="1" applyAlignment="1" applyProtection="1">
      <alignment horizontal="center"/>
      <protection hidden="1"/>
    </xf>
    <xf numFmtId="0" fontId="2" fillId="2" borderId="15" xfId="2" applyFont="1" applyFill="1" applyBorder="1" applyAlignment="1" applyProtection="1">
      <alignment horizontal="center" vertical="center"/>
      <protection hidden="1"/>
    </xf>
    <xf numFmtId="164" fontId="3" fillId="4" borderId="0" xfId="2" applyNumberFormat="1" applyFont="1" applyFill="1" applyAlignment="1" applyProtection="1">
      <alignment horizontal="right"/>
      <protection locked="0"/>
    </xf>
    <xf numFmtId="0" fontId="5" fillId="4" borderId="0" xfId="2" applyFont="1" applyFill="1" applyAlignment="1" applyProtection="1">
      <alignment vertical="center"/>
      <protection hidden="1"/>
    </xf>
    <xf numFmtId="0" fontId="5" fillId="4" borderId="0" xfId="2" applyFont="1" applyFill="1" applyAlignment="1" applyProtection="1">
      <alignment horizontal="right" vertical="center"/>
      <protection hidden="1"/>
    </xf>
    <xf numFmtId="0" fontId="3" fillId="4" borderId="0" xfId="2" applyFont="1" applyFill="1" applyAlignment="1" applyProtection="1">
      <alignment horizontal="center" vertical="center"/>
      <protection locked="0"/>
    </xf>
    <xf numFmtId="0" fontId="5" fillId="2" borderId="12" xfId="2" applyFont="1" applyFill="1" applyBorder="1" applyAlignment="1" applyProtection="1">
      <alignment horizontal="left"/>
      <protection hidden="1"/>
    </xf>
    <xf numFmtId="0" fontId="5" fillId="2" borderId="13" xfId="2" applyFont="1" applyFill="1" applyBorder="1" applyAlignment="1" applyProtection="1">
      <alignment horizontal="left"/>
      <protection hidden="1"/>
    </xf>
    <xf numFmtId="0" fontId="5" fillId="2" borderId="14" xfId="2" applyFont="1" applyFill="1" applyBorder="1" applyAlignment="1" applyProtection="1">
      <alignment horizontal="center"/>
      <protection hidden="1"/>
    </xf>
    <xf numFmtId="2" fontId="7" fillId="2" borderId="15" xfId="2" applyNumberFormat="1" applyFont="1" applyFill="1" applyBorder="1" applyAlignment="1" applyProtection="1">
      <alignment horizontal="center" vertical="center"/>
      <protection hidden="1"/>
    </xf>
    <xf numFmtId="0" fontId="1" fillId="4" borderId="9" xfId="2" applyFill="1" applyBorder="1" applyAlignment="1" applyProtection="1">
      <alignment vertical="center"/>
      <protection hidden="1"/>
    </xf>
    <xf numFmtId="0" fontId="5" fillId="4" borderId="10" xfId="2" applyFont="1" applyFill="1" applyBorder="1" applyAlignment="1" applyProtection="1">
      <alignment horizontal="left" vertical="center"/>
      <protection hidden="1"/>
    </xf>
    <xf numFmtId="164" fontId="3" fillId="4" borderId="10" xfId="2" applyNumberFormat="1" applyFont="1" applyFill="1" applyBorder="1" applyAlignment="1" applyProtection="1">
      <alignment horizontal="right"/>
      <protection locked="0"/>
    </xf>
    <xf numFmtId="0" fontId="10" fillId="2" borderId="0" xfId="2" applyFont="1" applyFill="1" applyAlignment="1" applyProtection="1">
      <alignment horizontal="left" vertical="center" indent="2"/>
      <protection hidden="1"/>
    </xf>
    <xf numFmtId="0" fontId="2" fillId="4" borderId="12" xfId="2" applyFont="1" applyFill="1" applyBorder="1" applyAlignment="1" applyProtection="1">
      <alignment vertical="center"/>
      <protection hidden="1"/>
    </xf>
    <xf numFmtId="0" fontId="5" fillId="4" borderId="13" xfId="2" applyFont="1" applyFill="1" applyBorder="1" applyAlignment="1" applyProtection="1">
      <alignment vertical="center"/>
      <protection hidden="1"/>
    </xf>
    <xf numFmtId="165" fontId="3" fillId="4" borderId="13" xfId="2" applyNumberFormat="1" applyFont="1" applyFill="1" applyBorder="1" applyAlignment="1" applyProtection="1">
      <alignment horizontal="center" vertical="center"/>
      <protection locked="0"/>
    </xf>
    <xf numFmtId="0" fontId="5" fillId="4" borderId="10" xfId="2" applyFont="1" applyFill="1" applyBorder="1" applyAlignment="1" applyProtection="1">
      <alignment horizontal="right" vertical="center"/>
      <protection hidden="1"/>
    </xf>
    <xf numFmtId="0" fontId="3" fillId="4" borderId="10" xfId="2" applyFont="1" applyFill="1" applyBorder="1" applyAlignment="1" applyProtection="1">
      <alignment horizontal="center" vertical="center"/>
      <protection locked="0"/>
    </xf>
    <xf numFmtId="0" fontId="1" fillId="4" borderId="11" xfId="2" applyFill="1" applyBorder="1" applyAlignment="1" applyProtection="1">
      <alignment vertical="center"/>
      <protection hidden="1"/>
    </xf>
    <xf numFmtId="0" fontId="5" fillId="2" borderId="1" xfId="2" applyFont="1" applyFill="1" applyBorder="1" applyProtection="1">
      <protection hidden="1"/>
    </xf>
    <xf numFmtId="0" fontId="5" fillId="2" borderId="2" xfId="2" applyFont="1" applyFill="1" applyBorder="1" applyProtection="1">
      <protection hidden="1"/>
    </xf>
    <xf numFmtId="0" fontId="5" fillId="2" borderId="3" xfId="2" applyFont="1" applyFill="1" applyBorder="1" applyAlignment="1" applyProtection="1">
      <alignment horizontal="center"/>
      <protection hidden="1"/>
    </xf>
    <xf numFmtId="0" fontId="26" fillId="2" borderId="0" xfId="2" applyFont="1" applyFill="1" applyAlignment="1" applyProtection="1">
      <alignment horizontal="left" vertical="center" indent="1"/>
      <protection hidden="1"/>
    </xf>
    <xf numFmtId="2" fontId="7" fillId="2" borderId="0" xfId="2" applyNumberFormat="1" applyFont="1" applyFill="1" applyAlignment="1" applyProtection="1">
      <alignment horizontal="left" vertical="center"/>
      <protection hidden="1"/>
    </xf>
    <xf numFmtId="0" fontId="1" fillId="0" borderId="2" xfId="2" applyBorder="1" applyAlignment="1" applyProtection="1">
      <alignment vertical="center"/>
      <protection hidden="1"/>
    </xf>
    <xf numFmtId="0" fontId="5" fillId="0" borderId="3" xfId="2" applyFont="1" applyBorder="1" applyAlignment="1" applyProtection="1">
      <alignment horizontal="center" vertical="center"/>
      <protection hidden="1"/>
    </xf>
    <xf numFmtId="2" fontId="5" fillId="4" borderId="0" xfId="2" applyNumberFormat="1" applyFont="1" applyFill="1" applyAlignment="1" applyProtection="1">
      <alignment vertical="center"/>
      <protection hidden="1"/>
    </xf>
    <xf numFmtId="0" fontId="5" fillId="0" borderId="12" xfId="2" applyFont="1" applyBorder="1" applyAlignment="1" applyProtection="1">
      <alignment vertical="center"/>
      <protection hidden="1"/>
    </xf>
    <xf numFmtId="0" fontId="1" fillId="0" borderId="13" xfId="2" applyBorder="1" applyAlignment="1" applyProtection="1">
      <alignment vertical="center"/>
      <protection hidden="1"/>
    </xf>
    <xf numFmtId="2" fontId="5" fillId="0" borderId="13" xfId="2" applyNumberFormat="1" applyFont="1" applyBorder="1" applyAlignment="1" applyProtection="1">
      <alignment horizontal="center" vertical="center"/>
      <protection hidden="1"/>
    </xf>
    <xf numFmtId="0" fontId="23" fillId="2" borderId="0" xfId="2" applyFont="1" applyFill="1" applyProtection="1">
      <protection hidden="1"/>
    </xf>
    <xf numFmtId="0" fontId="5" fillId="2" borderId="0" xfId="2" applyFont="1" applyFill="1" applyAlignment="1" applyProtection="1">
      <alignment horizontal="left" vertical="center"/>
      <protection hidden="1"/>
    </xf>
    <xf numFmtId="2" fontId="7" fillId="2" borderId="0" xfId="2" applyNumberFormat="1" applyFont="1" applyFill="1" applyAlignment="1" applyProtection="1">
      <alignment horizontal="center" vertical="center"/>
      <protection hidden="1"/>
    </xf>
    <xf numFmtId="0" fontId="10" fillId="2" borderId="0" xfId="2" applyFont="1" applyFill="1" applyAlignment="1" applyProtection="1">
      <alignment horizontal="center" vertical="center"/>
      <protection hidden="1"/>
    </xf>
    <xf numFmtId="1" fontId="5" fillId="4" borderId="0" xfId="2" applyNumberFormat="1" applyFont="1" applyFill="1" applyAlignment="1" applyProtection="1">
      <alignment vertical="center"/>
      <protection hidden="1"/>
    </xf>
    <xf numFmtId="0" fontId="7" fillId="2" borderId="0" xfId="2" applyFont="1" applyFill="1" applyAlignment="1" applyProtection="1">
      <alignment horizontal="left" vertical="center" indent="1"/>
      <protection hidden="1"/>
    </xf>
    <xf numFmtId="1" fontId="5" fillId="4" borderId="0" xfId="2" applyNumberFormat="1" applyFont="1" applyFill="1" applyAlignment="1" applyProtection="1">
      <alignment horizontal="right" vertical="center"/>
      <protection hidden="1"/>
    </xf>
    <xf numFmtId="2" fontId="29" fillId="2" borderId="0" xfId="2" applyNumberFormat="1" applyFont="1" applyFill="1" applyAlignment="1" applyProtection="1">
      <alignment horizontal="center" vertical="center"/>
      <protection hidden="1"/>
    </xf>
    <xf numFmtId="0" fontId="2" fillId="2" borderId="12" xfId="2" applyFont="1" applyFill="1" applyBorder="1" applyAlignment="1" applyProtection="1">
      <alignment horizontal="center" vertical="center"/>
      <protection hidden="1"/>
    </xf>
    <xf numFmtId="0" fontId="2" fillId="2" borderId="13" xfId="2" applyFont="1" applyFill="1" applyBorder="1" applyAlignment="1" applyProtection="1">
      <alignment horizontal="center" vertical="center"/>
      <protection hidden="1"/>
    </xf>
    <xf numFmtId="0" fontId="2" fillId="2" borderId="14" xfId="2" applyFont="1" applyFill="1" applyBorder="1" applyAlignment="1" applyProtection="1">
      <alignment horizontal="center" vertical="center"/>
      <protection hidden="1"/>
    </xf>
    <xf numFmtId="0" fontId="2" fillId="2" borderId="15" xfId="2" applyFont="1" applyFill="1" applyBorder="1" applyAlignment="1" applyProtection="1">
      <alignment vertical="center"/>
      <protection hidden="1"/>
    </xf>
    <xf numFmtId="0" fontId="2" fillId="2" borderId="0" xfId="2" applyFont="1" applyFill="1" applyAlignment="1" applyProtection="1">
      <alignment vertical="center"/>
      <protection hidden="1"/>
    </xf>
    <xf numFmtId="0" fontId="7" fillId="2" borderId="1" xfId="2" applyFont="1" applyFill="1" applyBorder="1" applyAlignment="1" applyProtection="1">
      <alignment horizontal="center" vertical="center" wrapText="1"/>
      <protection hidden="1"/>
    </xf>
    <xf numFmtId="0" fontId="7" fillId="2" borderId="3" xfId="2" applyFont="1" applyFill="1" applyBorder="1" applyAlignment="1" applyProtection="1">
      <alignment horizontal="center" vertical="center" wrapText="1"/>
      <protection hidden="1"/>
    </xf>
    <xf numFmtId="0" fontId="7" fillId="2" borderId="12" xfId="2" applyFont="1" applyFill="1" applyBorder="1" applyAlignment="1" applyProtection="1">
      <alignment horizontal="center" vertical="center"/>
      <protection hidden="1"/>
    </xf>
    <xf numFmtId="0" fontId="7" fillId="2" borderId="13" xfId="2" applyFont="1" applyFill="1" applyBorder="1" applyAlignment="1" applyProtection="1">
      <alignment horizontal="center" vertical="center"/>
      <protection hidden="1"/>
    </xf>
    <xf numFmtId="0" fontId="7" fillId="2" borderId="14" xfId="2" applyFont="1" applyFill="1" applyBorder="1" applyAlignment="1" applyProtection="1">
      <alignment horizontal="center" vertical="center"/>
      <protection hidden="1"/>
    </xf>
    <xf numFmtId="0" fontId="7" fillId="2" borderId="15" xfId="2" applyFont="1" applyFill="1" applyBorder="1" applyAlignment="1" applyProtection="1">
      <alignment horizontal="center" vertical="center"/>
      <protection hidden="1"/>
    </xf>
    <xf numFmtId="0" fontId="30" fillId="2" borderId="0" xfId="2" applyFont="1" applyFill="1" applyAlignment="1" applyProtection="1">
      <alignment horizontal="left"/>
      <protection hidden="1"/>
    </xf>
    <xf numFmtId="0" fontId="7" fillId="2" borderId="9" xfId="2" applyFont="1" applyFill="1" applyBorder="1" applyAlignment="1" applyProtection="1">
      <alignment horizontal="center" vertical="center" wrapText="1"/>
      <protection hidden="1"/>
    </xf>
    <xf numFmtId="0" fontId="7" fillId="2" borderId="11" xfId="2" applyFont="1" applyFill="1" applyBorder="1" applyAlignment="1" applyProtection="1">
      <alignment horizontal="center" vertical="center" wrapText="1"/>
      <protection hidden="1"/>
    </xf>
    <xf numFmtId="0" fontId="2" fillId="4" borderId="12" xfId="2" applyFont="1" applyFill="1" applyBorder="1" applyAlignment="1" applyProtection="1">
      <alignment horizontal="center" vertical="center"/>
      <protection hidden="1"/>
    </xf>
    <xf numFmtId="0" fontId="2" fillId="4" borderId="13" xfId="2" applyFont="1" applyFill="1" applyBorder="1" applyAlignment="1" applyProtection="1">
      <alignment horizontal="center" vertical="center"/>
      <protection hidden="1"/>
    </xf>
    <xf numFmtId="0" fontId="2" fillId="4" borderId="14" xfId="2" applyFont="1" applyFill="1" applyBorder="1" applyAlignment="1" applyProtection="1">
      <alignment horizontal="center" vertical="center"/>
      <protection hidden="1"/>
    </xf>
    <xf numFmtId="2" fontId="8" fillId="4" borderId="0" xfId="2" applyNumberFormat="1" applyFont="1" applyFill="1" applyAlignment="1" applyProtection="1">
      <alignment horizontal="left" vertical="center"/>
      <protection hidden="1"/>
    </xf>
    <xf numFmtId="0" fontId="7" fillId="2" borderId="1" xfId="2" applyFont="1" applyFill="1" applyBorder="1" applyAlignment="1" applyProtection="1">
      <alignment horizontal="left" vertical="center"/>
      <protection hidden="1"/>
    </xf>
    <xf numFmtId="0" fontId="7" fillId="2" borderId="3" xfId="2" applyFont="1" applyFill="1" applyBorder="1" applyAlignment="1" applyProtection="1">
      <alignment horizontal="right" vertical="center"/>
      <protection hidden="1"/>
    </xf>
    <xf numFmtId="2" fontId="7" fillId="2" borderId="16" xfId="2" applyNumberFormat="1" applyFont="1" applyFill="1" applyBorder="1" applyAlignment="1" applyProtection="1">
      <alignment horizontal="center" vertical="center"/>
      <protection hidden="1"/>
    </xf>
    <xf numFmtId="0" fontId="10" fillId="2" borderId="0" xfId="2" applyFont="1" applyFill="1" applyAlignment="1" applyProtection="1">
      <alignment horizontal="center" vertical="center"/>
      <protection hidden="1"/>
    </xf>
    <xf numFmtId="0" fontId="5" fillId="4" borderId="1" xfId="2" applyFont="1" applyFill="1" applyBorder="1" applyAlignment="1" applyProtection="1">
      <alignment vertical="center"/>
      <protection hidden="1"/>
    </xf>
    <xf numFmtId="0" fontId="2" fillId="4" borderId="2" xfId="2" applyFont="1" applyFill="1" applyBorder="1" applyAlignment="1" applyProtection="1">
      <alignment horizontal="center" vertical="center"/>
      <protection hidden="1"/>
    </xf>
    <xf numFmtId="0" fontId="5" fillId="4" borderId="3" xfId="2" applyFont="1" applyFill="1" applyBorder="1" applyAlignment="1" applyProtection="1">
      <alignment horizontal="center" vertical="center"/>
      <protection hidden="1"/>
    </xf>
    <xf numFmtId="0" fontId="5" fillId="4" borderId="3" xfId="2" applyFont="1" applyFill="1" applyBorder="1" applyAlignment="1" applyProtection="1">
      <alignment horizontal="right" vertical="center"/>
      <protection hidden="1"/>
    </xf>
    <xf numFmtId="0" fontId="28" fillId="4" borderId="0" xfId="2" applyFont="1" applyFill="1" applyAlignment="1" applyProtection="1">
      <alignment vertical="top" wrapText="1"/>
      <protection hidden="1"/>
    </xf>
    <xf numFmtId="0" fontId="7" fillId="2" borderId="7" xfId="2" applyFont="1" applyFill="1" applyBorder="1" applyAlignment="1" applyProtection="1">
      <alignment horizontal="left" vertical="center"/>
      <protection hidden="1"/>
    </xf>
    <xf numFmtId="0" fontId="7" fillId="2" borderId="8" xfId="2" applyFont="1" applyFill="1" applyBorder="1" applyAlignment="1" applyProtection="1">
      <alignment horizontal="right" vertical="center"/>
      <protection hidden="1"/>
    </xf>
    <xf numFmtId="2" fontId="7" fillId="2" borderId="17" xfId="2" applyNumberFormat="1" applyFont="1" applyFill="1" applyBorder="1" applyAlignment="1" applyProtection="1">
      <alignment horizontal="center" vertical="center"/>
      <protection hidden="1"/>
    </xf>
    <xf numFmtId="0" fontId="30" fillId="4" borderId="7" xfId="2" applyFont="1" applyFill="1" applyBorder="1" applyAlignment="1" applyProtection="1">
      <alignment vertical="center"/>
      <protection hidden="1"/>
    </xf>
    <xf numFmtId="0" fontId="25" fillId="4" borderId="0" xfId="2" applyFont="1" applyFill="1" applyAlignment="1" applyProtection="1">
      <alignment horizontal="right" vertical="center"/>
      <protection hidden="1"/>
    </xf>
    <xf numFmtId="2" fontId="31" fillId="4" borderId="8" xfId="2" applyNumberFormat="1" applyFont="1" applyFill="1" applyBorder="1" applyAlignment="1" applyProtection="1">
      <alignment horizontal="center" vertical="center"/>
      <protection hidden="1"/>
    </xf>
    <xf numFmtId="2" fontId="32" fillId="4" borderId="8" xfId="2" applyNumberFormat="1" applyFont="1" applyFill="1" applyBorder="1" applyAlignment="1" applyProtection="1">
      <alignment horizontal="center" vertical="center"/>
      <protection hidden="1"/>
    </xf>
    <xf numFmtId="0" fontId="30" fillId="4" borderId="7" xfId="2" applyFont="1" applyFill="1" applyBorder="1" applyAlignment="1" applyProtection="1">
      <alignment horizontal="left" vertical="center"/>
      <protection hidden="1"/>
    </xf>
    <xf numFmtId="0" fontId="30" fillId="4" borderId="0" xfId="2" applyFont="1" applyFill="1" applyAlignment="1" applyProtection="1">
      <alignment horizontal="left" vertical="center"/>
      <protection hidden="1"/>
    </xf>
    <xf numFmtId="0" fontId="7" fillId="0" borderId="1" xfId="2" applyFont="1" applyBorder="1" applyAlignment="1" applyProtection="1">
      <alignment horizontal="center" vertical="center"/>
      <protection hidden="1"/>
    </xf>
    <xf numFmtId="0" fontId="5" fillId="2" borderId="0" xfId="2" applyFont="1" applyFill="1" applyAlignment="1" applyProtection="1">
      <alignment horizontal="center" vertical="top"/>
      <protection hidden="1"/>
    </xf>
    <xf numFmtId="0" fontId="7" fillId="2" borderId="9" xfId="2" applyFont="1" applyFill="1" applyBorder="1" applyAlignment="1" applyProtection="1">
      <alignment horizontal="left" vertical="center"/>
      <protection hidden="1"/>
    </xf>
    <xf numFmtId="0" fontId="7" fillId="2" borderId="11" xfId="2" applyFont="1" applyFill="1" applyBorder="1" applyAlignment="1" applyProtection="1">
      <alignment horizontal="right" vertical="center"/>
      <protection hidden="1"/>
    </xf>
    <xf numFmtId="2" fontId="7" fillId="2" borderId="18" xfId="2" applyNumberFormat="1" applyFont="1" applyFill="1" applyBorder="1" applyAlignment="1" applyProtection="1">
      <alignment horizontal="center" vertical="center"/>
      <protection hidden="1"/>
    </xf>
    <xf numFmtId="0" fontId="7" fillId="0" borderId="9" xfId="2" applyFont="1" applyBorder="1" applyAlignment="1" applyProtection="1">
      <alignment horizontal="center" vertical="center"/>
      <protection hidden="1"/>
    </xf>
    <xf numFmtId="0" fontId="30" fillId="4" borderId="9" xfId="2" applyFont="1" applyFill="1" applyBorder="1" applyAlignment="1" applyProtection="1">
      <alignment horizontal="left" vertical="center"/>
      <protection hidden="1"/>
    </xf>
    <xf numFmtId="0" fontId="30" fillId="4" borderId="10" xfId="2" applyFont="1" applyFill="1" applyBorder="1" applyAlignment="1" applyProtection="1">
      <alignment horizontal="left" vertical="center"/>
      <protection hidden="1"/>
    </xf>
    <xf numFmtId="2" fontId="31" fillId="4" borderId="11" xfId="2" applyNumberFormat="1" applyFont="1" applyFill="1" applyBorder="1" applyAlignment="1" applyProtection="1">
      <alignment horizontal="center" vertical="center"/>
      <protection hidden="1"/>
    </xf>
    <xf numFmtId="0" fontId="5" fillId="4" borderId="9" xfId="2" applyFont="1" applyFill="1" applyBorder="1" applyAlignment="1" applyProtection="1">
      <alignment vertical="center"/>
      <protection hidden="1"/>
    </xf>
    <xf numFmtId="166" fontId="5" fillId="4" borderId="11" xfId="2" applyNumberFormat="1" applyFont="1" applyFill="1" applyBorder="1" applyAlignment="1" applyProtection="1">
      <alignment horizontal="center" vertical="center"/>
      <protection hidden="1"/>
    </xf>
    <xf numFmtId="0" fontId="33" fillId="2" borderId="0" xfId="2" applyFont="1" applyFill="1" applyAlignment="1" applyProtection="1">
      <alignment horizontal="center" vertical="center"/>
      <protection hidden="1"/>
    </xf>
    <xf numFmtId="0" fontId="33" fillId="0" borderId="0" xfId="2" applyFont="1" applyAlignment="1" applyProtection="1">
      <alignment horizontal="center" vertical="center"/>
      <protection hidden="1"/>
    </xf>
    <xf numFmtId="0" fontId="2" fillId="4" borderId="13" xfId="2" applyFont="1" applyFill="1" applyBorder="1" applyAlignment="1" applyProtection="1">
      <alignment vertical="center"/>
      <protection hidden="1"/>
    </xf>
    <xf numFmtId="167" fontId="31" fillId="4" borderId="13" xfId="2" applyNumberFormat="1" applyFont="1" applyFill="1" applyBorder="1" applyAlignment="1" applyProtection="1">
      <alignment horizontal="left" vertical="center"/>
      <protection hidden="1"/>
    </xf>
    <xf numFmtId="0" fontId="1" fillId="4" borderId="14" xfId="2" applyFill="1" applyBorder="1" applyAlignment="1" applyProtection="1">
      <alignment vertical="center"/>
      <protection hidden="1"/>
    </xf>
    <xf numFmtId="0" fontId="5" fillId="2" borderId="0" xfId="2" applyFont="1" applyFill="1" applyAlignment="1" applyProtection="1">
      <alignment horizontal="right" vertical="center"/>
      <protection hidden="1"/>
    </xf>
    <xf numFmtId="0" fontId="7" fillId="4" borderId="0" xfId="2" applyFont="1" applyFill="1" applyAlignment="1" applyProtection="1">
      <alignment horizontal="left" vertical="top" wrapText="1"/>
      <protection hidden="1"/>
    </xf>
    <xf numFmtId="0" fontId="34" fillId="4" borderId="0" xfId="2" applyFont="1" applyFill="1" applyAlignment="1" applyProtection="1">
      <alignment horizontal="left" vertical="center"/>
      <protection hidden="1"/>
    </xf>
    <xf numFmtId="0" fontId="35" fillId="4" borderId="0" xfId="2" applyFont="1" applyFill="1" applyAlignment="1" applyProtection="1">
      <alignment vertical="center" wrapText="1"/>
      <protection hidden="1"/>
    </xf>
    <xf numFmtId="0" fontId="5" fillId="2" borderId="12" xfId="2" applyFont="1" applyFill="1" applyBorder="1" applyAlignment="1" applyProtection="1">
      <alignment horizontal="center" vertical="center" wrapText="1"/>
      <protection hidden="1"/>
    </xf>
    <xf numFmtId="0" fontId="5" fillId="2" borderId="13" xfId="2" applyFont="1" applyFill="1" applyBorder="1" applyAlignment="1" applyProtection="1">
      <alignment horizontal="center" vertical="center" wrapText="1"/>
      <protection hidden="1"/>
    </xf>
    <xf numFmtId="0" fontId="5" fillId="2" borderId="14" xfId="2" applyFont="1" applyFill="1" applyBorder="1" applyAlignment="1" applyProtection="1">
      <alignment horizontal="center" vertical="center" wrapText="1"/>
      <protection hidden="1"/>
    </xf>
    <xf numFmtId="0" fontId="5" fillId="2" borderId="9" xfId="2" applyFont="1" applyFill="1" applyBorder="1" applyAlignment="1" applyProtection="1">
      <alignment vertical="center" wrapText="1"/>
      <protection hidden="1"/>
    </xf>
    <xf numFmtId="0" fontId="5" fillId="2" borderId="10" xfId="2" applyFont="1" applyFill="1" applyBorder="1" applyAlignment="1" applyProtection="1">
      <alignment vertical="center" wrapText="1"/>
      <protection hidden="1"/>
    </xf>
    <xf numFmtId="0" fontId="5" fillId="2" borderId="11" xfId="2" applyFont="1" applyFill="1" applyBorder="1" applyAlignment="1" applyProtection="1">
      <alignment vertical="center" wrapText="1"/>
      <protection hidden="1"/>
    </xf>
    <xf numFmtId="0" fontId="7" fillId="2" borderId="12" xfId="2" applyFont="1" applyFill="1" applyBorder="1" applyAlignment="1" applyProtection="1">
      <alignment horizontal="center" vertical="center" wrapText="1"/>
      <protection hidden="1"/>
    </xf>
    <xf numFmtId="0" fontId="7" fillId="2" borderId="15" xfId="2" applyFont="1" applyFill="1" applyBorder="1" applyAlignment="1" applyProtection="1">
      <alignment horizontal="center" vertical="center" wrapText="1"/>
      <protection hidden="1"/>
    </xf>
    <xf numFmtId="0" fontId="7" fillId="2" borderId="14" xfId="2" applyFont="1" applyFill="1" applyBorder="1" applyAlignment="1" applyProtection="1">
      <alignment horizontal="center" vertical="center" wrapText="1"/>
      <protection hidden="1"/>
    </xf>
    <xf numFmtId="0" fontId="7" fillId="4" borderId="0" xfId="2" applyFont="1" applyFill="1" applyAlignment="1" applyProtection="1">
      <alignment vertical="center"/>
      <protection hidden="1"/>
    </xf>
    <xf numFmtId="49" fontId="5" fillId="4" borderId="0" xfId="2" applyNumberFormat="1" applyFont="1" applyFill="1" applyAlignment="1" applyProtection="1">
      <alignment vertical="center"/>
      <protection hidden="1"/>
    </xf>
    <xf numFmtId="0" fontId="1" fillId="4" borderId="0" xfId="2" applyFill="1" applyAlignment="1" applyProtection="1">
      <alignment horizontal="center" vertical="center"/>
      <protection hidden="1"/>
    </xf>
    <xf numFmtId="2" fontId="5" fillId="4" borderId="0" xfId="2" applyNumberFormat="1" applyFont="1" applyFill="1" applyAlignment="1" applyProtection="1">
      <alignment horizontal="left" vertical="center"/>
      <protection hidden="1"/>
    </xf>
    <xf numFmtId="0" fontId="5" fillId="2" borderId="16" xfId="2" applyFont="1" applyFill="1" applyBorder="1" applyAlignment="1" applyProtection="1">
      <alignment horizontal="center" vertical="center"/>
      <protection hidden="1"/>
    </xf>
    <xf numFmtId="0" fontId="2" fillId="4" borderId="0" xfId="2" applyFont="1" applyFill="1" applyAlignment="1" applyProtection="1">
      <alignment horizontal="left" vertical="center"/>
      <protection hidden="1"/>
    </xf>
    <xf numFmtId="2" fontId="5" fillId="4" borderId="0" xfId="2" applyNumberFormat="1" applyFont="1" applyFill="1" applyAlignment="1" applyProtection="1">
      <alignment horizontal="center" vertical="center"/>
      <protection hidden="1"/>
    </xf>
    <xf numFmtId="0" fontId="5" fillId="2" borderId="1" xfId="2" applyFont="1" applyFill="1" applyBorder="1" applyAlignment="1" applyProtection="1">
      <alignment vertical="center"/>
      <protection hidden="1"/>
    </xf>
    <xf numFmtId="0" fontId="5" fillId="2" borderId="2" xfId="2" applyFont="1" applyFill="1" applyBorder="1" applyAlignment="1" applyProtection="1">
      <alignment vertical="center"/>
      <protection hidden="1"/>
    </xf>
    <xf numFmtId="2" fontId="25" fillId="2" borderId="2" xfId="2" applyNumberFormat="1" applyFont="1" applyFill="1" applyBorder="1" applyAlignment="1" applyProtection="1">
      <alignment horizontal="center" vertical="center"/>
      <protection hidden="1"/>
    </xf>
    <xf numFmtId="2" fontId="5" fillId="2" borderId="2" xfId="2" applyNumberFormat="1" applyFont="1" applyFill="1" applyBorder="1" applyAlignment="1" applyProtection="1">
      <alignment horizontal="center" vertical="center"/>
      <protection hidden="1"/>
    </xf>
    <xf numFmtId="0" fontId="5" fillId="2" borderId="2" xfId="2" applyFont="1" applyFill="1" applyBorder="1" applyAlignment="1" applyProtection="1">
      <alignment horizontal="center" vertical="center"/>
      <protection hidden="1"/>
    </xf>
    <xf numFmtId="2" fontId="5" fillId="2" borderId="3" xfId="2" applyNumberFormat="1" applyFont="1" applyFill="1" applyBorder="1" applyAlignment="1" applyProtection="1">
      <alignment horizontal="center" vertical="center"/>
      <protection hidden="1"/>
    </xf>
    <xf numFmtId="0" fontId="5" fillId="0" borderId="0" xfId="2" applyFont="1" applyAlignment="1" applyProtection="1">
      <alignment horizontal="center" vertical="center"/>
      <protection hidden="1"/>
    </xf>
    <xf numFmtId="0" fontId="5" fillId="4" borderId="0" xfId="2" applyFont="1" applyFill="1" applyAlignment="1" applyProtection="1">
      <alignment horizontal="left"/>
      <protection hidden="1"/>
    </xf>
    <xf numFmtId="0" fontId="5" fillId="0" borderId="7" xfId="0" applyFont="1" applyBorder="1" applyProtection="1">
      <protection hidden="1"/>
    </xf>
    <xf numFmtId="0" fontId="5" fillId="0" borderId="0" xfId="0" applyFont="1" applyProtection="1">
      <protection hidden="1"/>
    </xf>
    <xf numFmtId="2" fontId="25" fillId="2" borderId="0" xfId="2" applyNumberFormat="1" applyFont="1" applyFill="1" applyAlignment="1" applyProtection="1">
      <alignment horizontal="center" vertical="center"/>
      <protection hidden="1"/>
    </xf>
    <xf numFmtId="2" fontId="5" fillId="2" borderId="8" xfId="2" applyNumberFormat="1" applyFont="1" applyFill="1" applyBorder="1" applyAlignment="1" applyProtection="1">
      <alignment horizontal="center" vertical="center"/>
      <protection hidden="1"/>
    </xf>
    <xf numFmtId="2" fontId="7" fillId="4" borderId="0" xfId="2" applyNumberFormat="1" applyFont="1" applyFill="1" applyAlignment="1" applyProtection="1">
      <alignment horizontal="center" vertical="center"/>
      <protection hidden="1"/>
    </xf>
    <xf numFmtId="0" fontId="1" fillId="4" borderId="0" xfId="2" applyFill="1" applyAlignment="1" applyProtection="1">
      <alignment horizontal="left" vertical="center"/>
      <protection hidden="1"/>
    </xf>
    <xf numFmtId="0" fontId="1" fillId="2" borderId="0" xfId="2" applyFill="1" applyAlignment="1" applyProtection="1">
      <alignment horizontal="left" vertical="center"/>
      <protection hidden="1"/>
    </xf>
    <xf numFmtId="0" fontId="25" fillId="2" borderId="0" xfId="2" applyFont="1" applyFill="1" applyAlignment="1" applyProtection="1">
      <alignment horizontal="left" vertical="center"/>
      <protection hidden="1"/>
    </xf>
    <xf numFmtId="0" fontId="5" fillId="2" borderId="7" xfId="0" applyFont="1" applyFill="1" applyBorder="1" applyProtection="1">
      <protection hidden="1"/>
    </xf>
    <xf numFmtId="0" fontId="5" fillId="2" borderId="0" xfId="0" applyFont="1" applyFill="1" applyProtection="1">
      <protection hidden="1"/>
    </xf>
    <xf numFmtId="0" fontId="7" fillId="0" borderId="7" xfId="2" applyFont="1" applyBorder="1" applyProtection="1">
      <protection locked="0"/>
    </xf>
    <xf numFmtId="0" fontId="7" fillId="0" borderId="0" xfId="2" applyFont="1" applyProtection="1">
      <protection locked="0"/>
    </xf>
    <xf numFmtId="0" fontId="29" fillId="4" borderId="0" xfId="2" applyFont="1" applyFill="1" applyAlignment="1" applyProtection="1">
      <alignment horizontal="center" vertical="center"/>
      <protection hidden="1"/>
    </xf>
    <xf numFmtId="0" fontId="5" fillId="4" borderId="1" xfId="2" applyFont="1" applyFill="1" applyBorder="1" applyAlignment="1" applyProtection="1">
      <alignment horizontal="left" indent="2"/>
      <protection hidden="1"/>
    </xf>
    <xf numFmtId="0" fontId="1" fillId="4" borderId="2" xfId="2" applyFill="1" applyBorder="1" applyAlignment="1" applyProtection="1">
      <alignment horizontal="right" vertical="center"/>
      <protection hidden="1"/>
    </xf>
    <xf numFmtId="0" fontId="34" fillId="4" borderId="0" xfId="2" applyFont="1" applyFill="1" applyAlignment="1" applyProtection="1">
      <alignment horizontal="left"/>
      <protection hidden="1"/>
    </xf>
    <xf numFmtId="0" fontId="5" fillId="4" borderId="7" xfId="2" applyFont="1" applyFill="1" applyBorder="1" applyAlignment="1" applyProtection="1">
      <alignment horizontal="left" indent="2"/>
      <protection hidden="1"/>
    </xf>
    <xf numFmtId="0" fontId="1" fillId="4" borderId="0" xfId="2" applyFill="1" applyAlignment="1" applyProtection="1">
      <alignment horizontal="right" vertical="center"/>
      <protection hidden="1"/>
    </xf>
    <xf numFmtId="0" fontId="5" fillId="2" borderId="7" xfId="2" applyFont="1" applyFill="1" applyBorder="1" applyAlignment="1" applyProtection="1">
      <alignment vertical="center"/>
      <protection hidden="1"/>
    </xf>
    <xf numFmtId="0" fontId="5" fillId="4" borderId="9" xfId="2" applyFont="1" applyFill="1" applyBorder="1" applyAlignment="1" applyProtection="1">
      <alignment horizontal="left" indent="2"/>
      <protection hidden="1"/>
    </xf>
    <xf numFmtId="0" fontId="1" fillId="4" borderId="10" xfId="2" applyFill="1" applyBorder="1" applyAlignment="1" applyProtection="1">
      <alignment horizontal="right" vertical="center"/>
      <protection hidden="1"/>
    </xf>
    <xf numFmtId="0" fontId="37" fillId="4" borderId="0" xfId="2" applyFont="1" applyFill="1" applyProtection="1">
      <protection hidden="1"/>
    </xf>
    <xf numFmtId="0" fontId="5" fillId="0" borderId="9" xfId="0" applyFont="1" applyBorder="1" applyProtection="1">
      <protection hidden="1"/>
    </xf>
    <xf numFmtId="0" fontId="5" fillId="0" borderId="10" xfId="0" applyFont="1" applyBorder="1" applyProtection="1">
      <protection hidden="1"/>
    </xf>
    <xf numFmtId="2" fontId="25" fillId="2" borderId="10" xfId="2" applyNumberFormat="1" applyFont="1" applyFill="1" applyBorder="1" applyAlignment="1" applyProtection="1">
      <alignment horizontal="center" vertical="center"/>
      <protection hidden="1"/>
    </xf>
    <xf numFmtId="2" fontId="5" fillId="2" borderId="10" xfId="2" applyNumberFormat="1" applyFont="1" applyFill="1" applyBorder="1" applyAlignment="1" applyProtection="1">
      <alignment horizontal="center" vertical="center"/>
      <protection hidden="1"/>
    </xf>
    <xf numFmtId="2" fontId="5" fillId="2" borderId="11" xfId="2" applyNumberFormat="1" applyFont="1" applyFill="1" applyBorder="1" applyAlignment="1" applyProtection="1">
      <alignment horizontal="center" vertical="center"/>
      <protection hidden="1"/>
    </xf>
    <xf numFmtId="0" fontId="25" fillId="4" borderId="0" xfId="2" applyFont="1" applyFill="1" applyAlignment="1" applyProtection="1">
      <alignment vertical="center"/>
      <protection hidden="1"/>
    </xf>
    <xf numFmtId="0" fontId="29" fillId="4" borderId="10" xfId="2" applyFont="1" applyFill="1" applyBorder="1" applyAlignment="1" applyProtection="1">
      <alignment horizontal="center" vertical="center"/>
      <protection hidden="1"/>
    </xf>
    <xf numFmtId="0" fontId="37" fillId="4" borderId="0" xfId="2" applyFont="1" applyFill="1" applyAlignment="1" applyProtection="1">
      <alignment vertical="center"/>
      <protection hidden="1"/>
    </xf>
    <xf numFmtId="0" fontId="7" fillId="2" borderId="15" xfId="2" quotePrefix="1" applyFont="1" applyFill="1" applyBorder="1" applyAlignment="1" applyProtection="1">
      <alignment horizontal="center"/>
      <protection hidden="1"/>
    </xf>
    <xf numFmtId="0" fontId="25" fillId="4" borderId="0" xfId="3" applyFont="1" applyFill="1" applyAlignment="1" applyProtection="1">
      <alignment vertical="center"/>
      <protection hidden="1"/>
    </xf>
    <xf numFmtId="0" fontId="7" fillId="0" borderId="0" xfId="2" applyFont="1" applyProtection="1">
      <protection hidden="1"/>
    </xf>
    <xf numFmtId="0" fontId="7" fillId="0" borderId="10" xfId="2" applyFont="1" applyBorder="1" applyProtection="1">
      <protection hidden="1"/>
    </xf>
    <xf numFmtId="0" fontId="5" fillId="4" borderId="0" xfId="2" applyFont="1" applyFill="1" applyAlignment="1" applyProtection="1">
      <alignment horizontal="left" indent="1"/>
      <protection hidden="1"/>
    </xf>
    <xf numFmtId="0" fontId="39" fillId="2" borderId="0" xfId="2" applyFont="1" applyFill="1" applyProtection="1">
      <protection hidden="1"/>
    </xf>
    <xf numFmtId="0" fontId="7" fillId="0" borderId="15" xfId="2" applyFont="1" applyBorder="1" applyProtection="1">
      <protection hidden="1"/>
    </xf>
    <xf numFmtId="2" fontId="5" fillId="4" borderId="0" xfId="2" applyNumberFormat="1" applyFont="1" applyFill="1" applyAlignment="1" applyProtection="1">
      <alignment horizontal="right"/>
      <protection hidden="1"/>
    </xf>
    <xf numFmtId="0" fontId="7" fillId="2" borderId="15" xfId="2" applyFont="1" applyFill="1" applyBorder="1" applyAlignment="1" applyProtection="1">
      <alignment horizontal="center"/>
      <protection hidden="1"/>
    </xf>
    <xf numFmtId="0" fontId="7" fillId="4" borderId="0" xfId="2" applyFont="1" applyFill="1" applyAlignment="1" applyProtection="1">
      <alignment horizontal="left" indent="3"/>
      <protection hidden="1"/>
    </xf>
    <xf numFmtId="0" fontId="7" fillId="4" borderId="0" xfId="2" applyFont="1" applyFill="1" applyAlignment="1" applyProtection="1">
      <alignment horizontal="center" vertical="top"/>
      <protection hidden="1"/>
    </xf>
    <xf numFmtId="0" fontId="7" fillId="0" borderId="14" xfId="2" applyFont="1" applyBorder="1" applyProtection="1">
      <protection hidden="1"/>
    </xf>
    <xf numFmtId="0" fontId="7" fillId="0" borderId="15" xfId="2" applyFont="1" applyBorder="1" applyAlignment="1" applyProtection="1">
      <alignment vertical="center"/>
      <protection hidden="1"/>
    </xf>
    <xf numFmtId="0" fontId="7" fillId="2" borderId="15" xfId="2" applyFont="1" applyFill="1" applyBorder="1" applyProtection="1">
      <protection hidden="1"/>
    </xf>
    <xf numFmtId="0" fontId="2" fillId="4" borderId="1" xfId="2" applyFont="1" applyFill="1" applyBorder="1" applyAlignment="1" applyProtection="1">
      <alignment horizontal="left" vertical="center"/>
      <protection hidden="1"/>
    </xf>
    <xf numFmtId="0" fontId="7" fillId="4" borderId="0" xfId="2" applyFont="1" applyFill="1" applyAlignment="1" applyProtection="1">
      <alignment horizontal="center" vertical="center"/>
      <protection hidden="1"/>
    </xf>
    <xf numFmtId="0" fontId="1" fillId="0" borderId="15" xfId="2" applyBorder="1" applyAlignment="1" applyProtection="1">
      <alignment vertical="center"/>
      <protection hidden="1"/>
    </xf>
    <xf numFmtId="168" fontId="7" fillId="2" borderId="15" xfId="2" applyNumberFormat="1" applyFont="1" applyFill="1" applyBorder="1" applyAlignment="1" applyProtection="1">
      <alignment horizontal="center"/>
      <protection hidden="1"/>
    </xf>
    <xf numFmtId="168" fontId="7" fillId="2" borderId="15" xfId="2" applyNumberFormat="1" applyFont="1" applyFill="1" applyBorder="1" applyAlignment="1" applyProtection="1">
      <alignment horizontal="center" vertical="center"/>
      <protection hidden="1"/>
    </xf>
    <xf numFmtId="2" fontId="5" fillId="4" borderId="8" xfId="2" applyNumberFormat="1" applyFont="1" applyFill="1" applyBorder="1" applyAlignment="1" applyProtection="1">
      <alignment horizontal="left" vertical="center" indent="1"/>
      <protection hidden="1"/>
    </xf>
    <xf numFmtId="0" fontId="7" fillId="4" borderId="0" xfId="2" applyFont="1" applyFill="1" applyAlignment="1" applyProtection="1">
      <alignment horizontal="right" vertical="center"/>
      <protection hidden="1"/>
    </xf>
    <xf numFmtId="2" fontId="7" fillId="2" borderId="15" xfId="2" applyNumberFormat="1" applyFont="1" applyFill="1" applyBorder="1" applyAlignment="1" applyProtection="1">
      <alignment horizontal="center"/>
      <protection hidden="1"/>
    </xf>
    <xf numFmtId="0" fontId="25" fillId="4" borderId="7" xfId="2" applyFont="1" applyFill="1" applyBorder="1" applyAlignment="1" applyProtection="1">
      <alignment horizontal="left" vertical="center"/>
      <protection hidden="1"/>
    </xf>
    <xf numFmtId="0" fontId="7" fillId="5" borderId="14" xfId="0" applyFont="1" applyFill="1" applyBorder="1" applyAlignment="1" applyProtection="1">
      <alignment horizontal="left" vertical="center"/>
      <protection hidden="1"/>
    </xf>
    <xf numFmtId="0" fontId="7" fillId="5" borderId="15" xfId="0" applyFont="1" applyFill="1" applyBorder="1" applyAlignment="1" applyProtection="1">
      <alignment horizontal="left" vertical="center"/>
      <protection hidden="1"/>
    </xf>
    <xf numFmtId="0" fontId="5" fillId="4" borderId="9" xfId="2" applyFont="1" applyFill="1" applyBorder="1" applyAlignment="1" applyProtection="1">
      <alignment horizontal="left" vertical="center"/>
      <protection hidden="1"/>
    </xf>
    <xf numFmtId="2" fontId="5" fillId="4" borderId="11" xfId="2" applyNumberFormat="1" applyFont="1" applyFill="1" applyBorder="1" applyAlignment="1" applyProtection="1">
      <alignment horizontal="left" vertical="center" indent="1"/>
      <protection hidden="1"/>
    </xf>
    <xf numFmtId="0" fontId="26" fillId="4" borderId="0" xfId="2" applyFont="1" applyFill="1" applyAlignment="1" applyProtection="1">
      <alignment horizontal="right" vertical="center"/>
      <protection hidden="1"/>
    </xf>
    <xf numFmtId="2" fontId="7" fillId="4" borderId="0" xfId="2" applyNumberFormat="1" applyFont="1" applyFill="1" applyAlignment="1" applyProtection="1">
      <alignment vertical="center"/>
      <protection hidden="1"/>
    </xf>
    <xf numFmtId="0" fontId="7" fillId="5" borderId="14" xfId="0" applyFont="1" applyFill="1" applyBorder="1" applyProtection="1">
      <protection hidden="1"/>
    </xf>
    <xf numFmtId="0" fontId="7" fillId="5" borderId="15" xfId="2" applyFont="1" applyFill="1" applyBorder="1" applyProtection="1">
      <protection hidden="1"/>
    </xf>
    <xf numFmtId="2" fontId="5" fillId="4" borderId="0" xfId="2" applyNumberFormat="1" applyFont="1" applyFill="1" applyAlignment="1" applyProtection="1">
      <alignment horizontal="left" vertical="center" indent="1"/>
      <protection hidden="1"/>
    </xf>
    <xf numFmtId="1" fontId="7" fillId="2" borderId="15" xfId="2" applyNumberFormat="1" applyFont="1" applyFill="1" applyBorder="1" applyAlignment="1" applyProtection="1">
      <alignment horizontal="center"/>
      <protection hidden="1"/>
    </xf>
    <xf numFmtId="0" fontId="5" fillId="4" borderId="0" xfId="2" applyFont="1" applyFill="1" applyAlignment="1" applyProtection="1">
      <alignment horizontal="left" vertical="center" indent="1"/>
      <protection hidden="1"/>
    </xf>
    <xf numFmtId="0" fontId="25" fillId="5" borderId="15" xfId="2" applyFont="1" applyFill="1" applyBorder="1" applyAlignment="1" applyProtection="1">
      <alignment horizontal="left" vertical="center"/>
      <protection hidden="1"/>
    </xf>
    <xf numFmtId="169" fontId="7" fillId="0" borderId="15" xfId="1" applyNumberFormat="1" applyFont="1" applyBorder="1" applyAlignment="1" applyProtection="1">
      <alignment horizontal="center" vertical="center"/>
      <protection hidden="1"/>
    </xf>
    <xf numFmtId="0" fontId="1" fillId="0" borderId="15" xfId="2" applyBorder="1" applyProtection="1">
      <protection hidden="1"/>
    </xf>
    <xf numFmtId="0" fontId="1" fillId="2" borderId="15" xfId="2" applyFill="1" applyBorder="1" applyProtection="1">
      <protection hidden="1"/>
    </xf>
    <xf numFmtId="0" fontId="1" fillId="4" borderId="0" xfId="2" applyFill="1" applyAlignment="1" applyProtection="1">
      <alignment horizontal="left" vertical="center" indent="1"/>
      <protection hidden="1"/>
    </xf>
    <xf numFmtId="2" fontId="5" fillId="4" borderId="0" xfId="2" applyNumberFormat="1" applyFont="1" applyFill="1" applyAlignment="1" applyProtection="1">
      <alignment horizontal="right" vertical="center"/>
      <protection hidden="1"/>
    </xf>
    <xf numFmtId="0" fontId="25" fillId="4" borderId="0" xfId="2" applyFont="1" applyFill="1" applyAlignment="1" applyProtection="1">
      <alignment horizontal="left" vertical="center"/>
      <protection hidden="1"/>
    </xf>
    <xf numFmtId="1" fontId="7" fillId="0" borderId="15" xfId="2" applyNumberFormat="1" applyFont="1" applyBorder="1" applyAlignment="1" applyProtection="1">
      <alignment horizontal="center" vertical="center"/>
      <protection hidden="1"/>
    </xf>
    <xf numFmtId="0" fontId="7" fillId="5" borderId="15" xfId="0" applyFont="1" applyFill="1" applyBorder="1" applyProtection="1">
      <protection hidden="1"/>
    </xf>
    <xf numFmtId="168" fontId="7" fillId="0" borderId="15" xfId="2" applyNumberFormat="1" applyFont="1" applyBorder="1" applyAlignment="1" applyProtection="1">
      <alignment horizontal="center" vertical="center"/>
      <protection hidden="1"/>
    </xf>
    <xf numFmtId="0" fontId="25" fillId="5" borderId="0" xfId="2" applyFont="1" applyFill="1" applyAlignment="1" applyProtection="1">
      <alignment horizontal="right" vertical="center"/>
      <protection hidden="1"/>
    </xf>
    <xf numFmtId="0" fontId="17" fillId="4" borderId="0" xfId="2" applyFont="1" applyFill="1" applyAlignment="1" applyProtection="1">
      <alignment horizontal="left" vertical="center"/>
      <protection hidden="1"/>
    </xf>
    <xf numFmtId="2" fontId="5" fillId="2" borderId="0" xfId="2" applyNumberFormat="1" applyFont="1" applyFill="1" applyAlignment="1" applyProtection="1">
      <alignment horizontal="center"/>
      <protection hidden="1"/>
    </xf>
    <xf numFmtId="168" fontId="5" fillId="4" borderId="0" xfId="2" applyNumberFormat="1" applyFont="1" applyFill="1" applyAlignment="1" applyProtection="1">
      <alignment vertical="center"/>
      <protection hidden="1"/>
    </xf>
    <xf numFmtId="0" fontId="7" fillId="0" borderId="0" xfId="2" applyFont="1" applyAlignment="1" applyProtection="1">
      <alignment horizontal="center"/>
      <protection hidden="1"/>
    </xf>
    <xf numFmtId="0" fontId="1" fillId="0" borderId="0" xfId="2" applyAlignment="1" applyProtection="1">
      <alignment horizontal="center" vertical="center"/>
      <protection hidden="1"/>
    </xf>
    <xf numFmtId="0" fontId="5" fillId="4" borderId="0" xfId="2" applyFont="1" applyFill="1" applyProtection="1">
      <protection hidden="1"/>
    </xf>
    <xf numFmtId="0" fontId="25" fillId="4" borderId="0" xfId="2" applyFont="1" applyFill="1" applyAlignment="1" applyProtection="1">
      <alignment horizontal="center" vertical="center"/>
      <protection hidden="1"/>
    </xf>
    <xf numFmtId="0" fontId="43" fillId="6" borderId="0" xfId="2" applyFont="1" applyFill="1" applyAlignment="1" applyProtection="1">
      <alignment horizontal="center"/>
      <protection hidden="1"/>
    </xf>
    <xf numFmtId="0" fontId="5" fillId="5" borderId="0" xfId="2" applyFont="1" applyFill="1" applyProtection="1">
      <protection hidden="1"/>
    </xf>
    <xf numFmtId="0" fontId="2" fillId="6" borderId="0" xfId="3" applyFont="1" applyFill="1" applyAlignment="1" applyProtection="1">
      <alignment horizontal="left" vertical="center"/>
      <protection hidden="1"/>
    </xf>
    <xf numFmtId="0" fontId="1" fillId="6" borderId="0" xfId="3" applyFill="1" applyAlignment="1" applyProtection="1">
      <alignment vertical="center"/>
      <protection hidden="1"/>
    </xf>
    <xf numFmtId="0" fontId="40" fillId="0" borderId="0" xfId="2" applyFont="1" applyProtection="1">
      <protection hidden="1"/>
    </xf>
    <xf numFmtId="170" fontId="7" fillId="0" borderId="0" xfId="2" applyNumberFormat="1" applyFont="1" applyAlignment="1" applyProtection="1">
      <alignment horizontal="center"/>
      <protection hidden="1"/>
    </xf>
    <xf numFmtId="171" fontId="2" fillId="5" borderId="0" xfId="2" applyNumberFormat="1" applyFont="1" applyFill="1" applyAlignment="1" applyProtection="1">
      <alignment horizontal="right" vertical="center"/>
      <protection hidden="1"/>
    </xf>
    <xf numFmtId="0" fontId="2" fillId="5" borderId="0" xfId="2" applyFont="1" applyFill="1" applyAlignment="1" applyProtection="1">
      <alignment horizontal="center" vertical="center"/>
      <protection hidden="1"/>
    </xf>
    <xf numFmtId="170" fontId="43" fillId="6" borderId="0" xfId="2" applyNumberFormat="1" applyFont="1" applyFill="1" applyAlignment="1" applyProtection="1">
      <alignment horizontal="center"/>
      <protection hidden="1"/>
    </xf>
    <xf numFmtId="168" fontId="7" fillId="0" borderId="0" xfId="2" applyNumberFormat="1" applyFont="1" applyAlignment="1" applyProtection="1">
      <alignment horizontal="center"/>
      <protection hidden="1"/>
    </xf>
    <xf numFmtId="172" fontId="7" fillId="0" borderId="0" xfId="2" applyNumberFormat="1" applyFont="1" applyAlignment="1" applyProtection="1">
      <alignment horizontal="center"/>
      <protection hidden="1"/>
    </xf>
    <xf numFmtId="2" fontId="7" fillId="0" borderId="0" xfId="2" applyNumberFormat="1" applyFont="1" applyAlignment="1" applyProtection="1">
      <alignment horizontal="center"/>
      <protection hidden="1"/>
    </xf>
    <xf numFmtId="0" fontId="39" fillId="0" borderId="0" xfId="2" applyFont="1" applyProtection="1">
      <protection hidden="1"/>
    </xf>
    <xf numFmtId="0" fontId="39" fillId="0" borderId="0" xfId="2" applyFont="1" applyAlignment="1" applyProtection="1">
      <alignment vertical="center"/>
      <protection hidden="1"/>
    </xf>
    <xf numFmtId="0" fontId="39" fillId="0" borderId="0" xfId="2" applyFont="1" applyAlignment="1" applyProtection="1">
      <alignment horizontal="center"/>
      <protection hidden="1"/>
    </xf>
    <xf numFmtId="0" fontId="40" fillId="0" borderId="0" xfId="2" applyFont="1" applyAlignment="1" applyProtection="1">
      <alignment horizontal="center"/>
      <protection hidden="1"/>
    </xf>
    <xf numFmtId="0" fontId="44" fillId="0" borderId="0" xfId="2" applyFont="1" applyAlignment="1" applyProtection="1">
      <alignment horizontal="center"/>
      <protection hidden="1"/>
    </xf>
    <xf numFmtId="167" fontId="7" fillId="0" borderId="0" xfId="2" applyNumberFormat="1" applyFont="1" applyAlignment="1" applyProtection="1">
      <alignment horizontal="center"/>
      <protection hidden="1"/>
    </xf>
    <xf numFmtId="167" fontId="39" fillId="0" borderId="0" xfId="2" applyNumberFormat="1" applyFont="1" applyAlignment="1" applyProtection="1">
      <alignment horizontal="center"/>
      <protection hidden="1"/>
    </xf>
    <xf numFmtId="0" fontId="1" fillId="5" borderId="0" xfId="2" applyFill="1" applyAlignment="1" applyProtection="1">
      <alignment vertical="center"/>
      <protection hidden="1"/>
    </xf>
    <xf numFmtId="0" fontId="2" fillId="3" borderId="12" xfId="2" applyFont="1" applyFill="1" applyBorder="1" applyAlignment="1" applyProtection="1">
      <alignment horizontal="center" vertical="center"/>
      <protection hidden="1"/>
    </xf>
    <xf numFmtId="0" fontId="2" fillId="3" borderId="13" xfId="2" applyFont="1" applyFill="1" applyBorder="1" applyAlignment="1" applyProtection="1">
      <alignment horizontal="center" vertical="center"/>
      <protection hidden="1"/>
    </xf>
    <xf numFmtId="0" fontId="2" fillId="3" borderId="14" xfId="2" applyFont="1" applyFill="1" applyBorder="1" applyAlignment="1" applyProtection="1">
      <alignment horizontal="center" vertical="center"/>
      <protection hidden="1"/>
    </xf>
    <xf numFmtId="0" fontId="2" fillId="4" borderId="0" xfId="2" applyFont="1" applyFill="1" applyAlignment="1" applyProtection="1">
      <alignment horizontal="center" vertical="center"/>
      <protection hidden="1"/>
    </xf>
    <xf numFmtId="0" fontId="45" fillId="4" borderId="0" xfId="2" applyFont="1" applyFill="1" applyAlignment="1" applyProtection="1">
      <alignment vertical="center"/>
      <protection hidden="1"/>
    </xf>
    <xf numFmtId="0" fontId="5" fillId="4" borderId="0" xfId="2" applyFont="1" applyFill="1" applyAlignment="1" applyProtection="1">
      <alignment vertical="center" wrapText="1"/>
      <protection hidden="1"/>
    </xf>
    <xf numFmtId="0" fontId="17" fillId="4" borderId="0" xfId="2" applyFont="1" applyFill="1" applyProtection="1">
      <protection hidden="1"/>
    </xf>
    <xf numFmtId="0" fontId="5" fillId="4" borderId="0" xfId="2" applyFont="1" applyFill="1" applyAlignment="1" applyProtection="1">
      <alignment horizontal="right" vertical="center" indent="1"/>
      <protection hidden="1"/>
    </xf>
    <xf numFmtId="0" fontId="5" fillId="4" borderId="1" xfId="2" applyFont="1" applyFill="1" applyBorder="1" applyAlignment="1" applyProtection="1">
      <alignment horizontal="left" vertical="center"/>
      <protection hidden="1"/>
    </xf>
    <xf numFmtId="1" fontId="5" fillId="4" borderId="3" xfId="2" applyNumberFormat="1" applyFont="1" applyFill="1" applyBorder="1" applyAlignment="1" applyProtection="1">
      <alignment horizontal="center" vertical="center"/>
      <protection hidden="1"/>
    </xf>
    <xf numFmtId="2" fontId="5" fillId="4" borderId="8" xfId="2" applyNumberFormat="1" applyFont="1" applyFill="1" applyBorder="1" applyAlignment="1" applyProtection="1">
      <alignment horizontal="center" vertical="center"/>
      <protection hidden="1"/>
    </xf>
    <xf numFmtId="0" fontId="25" fillId="4" borderId="10" xfId="2" applyFont="1" applyFill="1" applyBorder="1" applyAlignment="1" applyProtection="1">
      <alignment horizontal="center" vertical="center"/>
      <protection hidden="1"/>
    </xf>
    <xf numFmtId="2" fontId="5" fillId="4" borderId="11" xfId="2" applyNumberFormat="1" applyFont="1" applyFill="1" applyBorder="1" applyAlignment="1" applyProtection="1">
      <alignment horizontal="center" vertical="center"/>
      <protection hidden="1"/>
    </xf>
    <xf numFmtId="2" fontId="47" fillId="4" borderId="0" xfId="2" applyNumberFormat="1" applyFont="1" applyFill="1" applyAlignment="1" applyProtection="1">
      <alignment horizontal="right" vertical="center" indent="1"/>
      <protection hidden="1"/>
    </xf>
    <xf numFmtId="0" fontId="47" fillId="4" borderId="0" xfId="2" applyFont="1" applyFill="1" applyAlignment="1" applyProtection="1">
      <alignment horizontal="center" vertical="center"/>
      <protection hidden="1"/>
    </xf>
    <xf numFmtId="167" fontId="7" fillId="0" borderId="0" xfId="2" applyNumberFormat="1" applyFont="1" applyProtection="1">
      <protection hidden="1"/>
    </xf>
    <xf numFmtId="0" fontId="7" fillId="0" borderId="0" xfId="2" applyFont="1" applyAlignment="1" applyProtection="1">
      <alignment horizontal="right"/>
      <protection hidden="1"/>
    </xf>
    <xf numFmtId="168" fontId="10" fillId="6" borderId="0" xfId="2" applyNumberFormat="1" applyFont="1" applyFill="1" applyAlignment="1" applyProtection="1">
      <alignment horizontal="center"/>
      <protection hidden="1"/>
    </xf>
    <xf numFmtId="168" fontId="48" fillId="6" borderId="0" xfId="2" applyNumberFormat="1" applyFont="1" applyFill="1" applyAlignment="1" applyProtection="1">
      <alignment horizontal="center"/>
      <protection hidden="1"/>
    </xf>
    <xf numFmtId="0" fontId="39" fillId="2" borderId="0" xfId="2" applyFont="1" applyFill="1" applyAlignment="1" applyProtection="1">
      <alignment vertical="center"/>
      <protection hidden="1"/>
    </xf>
    <xf numFmtId="0" fontId="2" fillId="3" borderId="13" xfId="2" applyFont="1" applyFill="1" applyBorder="1" applyAlignment="1" applyProtection="1">
      <alignment horizontal="right" vertical="center"/>
      <protection hidden="1"/>
    </xf>
    <xf numFmtId="0" fontId="2" fillId="3" borderId="13" xfId="2" applyFont="1" applyFill="1" applyBorder="1" applyAlignment="1" applyProtection="1">
      <alignment vertical="center"/>
      <protection hidden="1"/>
    </xf>
    <xf numFmtId="0" fontId="2" fillId="2" borderId="7" xfId="2" applyFont="1" applyFill="1" applyBorder="1" applyAlignment="1" applyProtection="1">
      <alignment horizontal="left" vertical="center"/>
      <protection hidden="1"/>
    </xf>
    <xf numFmtId="0" fontId="45" fillId="4" borderId="0" xfId="2" applyFont="1" applyFill="1" applyAlignment="1" applyProtection="1">
      <alignment horizontal="center" vertical="center"/>
      <protection hidden="1"/>
    </xf>
    <xf numFmtId="0" fontId="2" fillId="4" borderId="12" xfId="2" applyFont="1" applyFill="1" applyBorder="1" applyAlignment="1" applyProtection="1">
      <alignment horizontal="left" vertical="center"/>
      <protection hidden="1"/>
    </xf>
    <xf numFmtId="0" fontId="2" fillId="4" borderId="13" xfId="2" applyFont="1" applyFill="1" applyBorder="1" applyAlignment="1" applyProtection="1">
      <alignment horizontal="left" vertical="center"/>
      <protection hidden="1"/>
    </xf>
    <xf numFmtId="0" fontId="5" fillId="4" borderId="13" xfId="2" applyFont="1" applyFill="1" applyBorder="1" applyAlignment="1" applyProtection="1">
      <alignment horizontal="right" vertical="center" wrapText="1"/>
      <protection hidden="1"/>
    </xf>
    <xf numFmtId="1" fontId="5" fillId="4" borderId="14" xfId="2" applyNumberFormat="1" applyFont="1" applyFill="1" applyBorder="1" applyAlignment="1" applyProtection="1">
      <alignment horizontal="left" vertical="center"/>
      <protection hidden="1"/>
    </xf>
    <xf numFmtId="1" fontId="2" fillId="4" borderId="12" xfId="2" applyNumberFormat="1" applyFont="1" applyFill="1" applyBorder="1" applyAlignment="1" applyProtection="1">
      <alignment horizontal="center" vertical="center"/>
      <protection hidden="1"/>
    </xf>
    <xf numFmtId="0" fontId="2" fillId="4" borderId="1" xfId="2" applyFont="1" applyFill="1" applyBorder="1" applyAlignment="1" applyProtection="1">
      <alignment horizontal="left"/>
      <protection hidden="1"/>
    </xf>
    <xf numFmtId="0" fontId="2" fillId="4" borderId="2" xfId="2" applyFont="1" applyFill="1" applyBorder="1" applyAlignment="1" applyProtection="1">
      <alignment horizontal="left"/>
      <protection hidden="1"/>
    </xf>
    <xf numFmtId="0" fontId="2" fillId="4" borderId="3" xfId="2" applyFont="1" applyFill="1" applyBorder="1" applyAlignment="1" applyProtection="1">
      <alignment horizontal="left"/>
      <protection hidden="1"/>
    </xf>
    <xf numFmtId="168" fontId="5" fillId="4" borderId="0" xfId="2" applyNumberFormat="1" applyFont="1" applyFill="1" applyAlignment="1" applyProtection="1">
      <alignment horizontal="right" vertical="center" indent="1"/>
      <protection hidden="1"/>
    </xf>
    <xf numFmtId="0" fontId="5" fillId="4" borderId="7" xfId="2" applyFont="1" applyFill="1" applyBorder="1" applyAlignment="1" applyProtection="1">
      <alignment horizontal="left" vertical="center"/>
      <protection hidden="1"/>
    </xf>
    <xf numFmtId="0" fontId="5" fillId="4" borderId="0" xfId="2" applyFont="1" applyFill="1" applyAlignment="1" applyProtection="1">
      <alignment horizontal="left" vertical="center"/>
      <protection hidden="1"/>
    </xf>
    <xf numFmtId="0" fontId="5" fillId="4" borderId="8" xfId="2" applyFont="1" applyFill="1" applyBorder="1" applyProtection="1">
      <protection hidden="1"/>
    </xf>
    <xf numFmtId="0" fontId="5" fillId="4" borderId="8" xfId="2" applyFont="1" applyFill="1" applyBorder="1" applyAlignment="1" applyProtection="1">
      <alignment horizontal="left"/>
      <protection hidden="1"/>
    </xf>
    <xf numFmtId="0" fontId="2" fillId="4" borderId="7" xfId="2" applyFont="1" applyFill="1" applyBorder="1" applyAlignment="1" applyProtection="1">
      <alignment horizontal="left"/>
      <protection hidden="1"/>
    </xf>
    <xf numFmtId="0" fontId="2" fillId="4" borderId="0" xfId="2" applyFont="1" applyFill="1" applyAlignment="1" applyProtection="1">
      <alignment horizontal="left"/>
      <protection hidden="1"/>
    </xf>
    <xf numFmtId="0" fontId="2" fillId="4" borderId="8" xfId="2" applyFont="1" applyFill="1" applyBorder="1" applyAlignment="1" applyProtection="1">
      <alignment horizontal="left"/>
      <protection hidden="1"/>
    </xf>
    <xf numFmtId="0" fontId="5" fillId="4" borderId="7" xfId="2" applyFont="1" applyFill="1" applyBorder="1" applyAlignment="1" applyProtection="1">
      <alignment horizontal="left"/>
      <protection hidden="1"/>
    </xf>
    <xf numFmtId="0" fontId="5" fillId="4" borderId="0" xfId="2" applyFont="1" applyFill="1" applyAlignment="1" applyProtection="1">
      <alignment horizontal="left"/>
      <protection hidden="1"/>
    </xf>
    <xf numFmtId="0" fontId="5" fillId="4" borderId="0" xfId="2" applyFont="1" applyFill="1" applyAlignment="1" applyProtection="1">
      <alignment horizontal="right"/>
      <protection hidden="1"/>
    </xf>
    <xf numFmtId="0" fontId="3" fillId="4" borderId="3" xfId="2" applyFont="1" applyFill="1" applyBorder="1" applyAlignment="1" applyProtection="1">
      <alignment horizontal="center" vertical="center"/>
      <protection locked="0"/>
    </xf>
    <xf numFmtId="0" fontId="49" fillId="4" borderId="0" xfId="2" applyFont="1" applyFill="1" applyAlignment="1" applyProtection="1">
      <alignment horizontal="center" vertical="center"/>
      <protection hidden="1"/>
    </xf>
    <xf numFmtId="0" fontId="5" fillId="4" borderId="9" xfId="2" applyFont="1" applyFill="1" applyBorder="1" applyProtection="1">
      <protection hidden="1"/>
    </xf>
    <xf numFmtId="0" fontId="5" fillId="4" borderId="11" xfId="2" applyFont="1" applyFill="1" applyBorder="1" applyAlignment="1" applyProtection="1">
      <alignment vertical="center"/>
      <protection hidden="1"/>
    </xf>
    <xf numFmtId="0" fontId="3" fillId="4" borderId="8" xfId="2" applyFont="1" applyFill="1" applyBorder="1" applyAlignment="1" applyProtection="1">
      <alignment horizontal="center" vertical="center"/>
      <protection locked="0"/>
    </xf>
    <xf numFmtId="2" fontId="5" fillId="4" borderId="0" xfId="2" applyNumberFormat="1" applyFont="1" applyFill="1" applyAlignment="1" applyProtection="1">
      <alignment horizontal="left"/>
      <protection hidden="1"/>
    </xf>
    <xf numFmtId="1" fontId="18" fillId="4" borderId="0" xfId="2" applyNumberFormat="1" applyFont="1" applyFill="1" applyAlignment="1" applyProtection="1">
      <alignment horizontal="left"/>
      <protection hidden="1"/>
    </xf>
    <xf numFmtId="0" fontId="5" fillId="4" borderId="0" xfId="2" applyFont="1" applyFill="1" applyAlignment="1" applyProtection="1">
      <alignment horizontal="center" vertical="center"/>
      <protection hidden="1"/>
    </xf>
    <xf numFmtId="2" fontId="5" fillId="4" borderId="8" xfId="2" applyNumberFormat="1" applyFont="1" applyFill="1" applyBorder="1" applyAlignment="1" applyProtection="1">
      <alignment horizontal="left"/>
      <protection hidden="1"/>
    </xf>
    <xf numFmtId="0" fontId="25" fillId="4" borderId="9" xfId="2" applyFont="1" applyFill="1" applyBorder="1" applyAlignment="1" applyProtection="1">
      <alignment horizontal="left" vertical="center"/>
      <protection hidden="1"/>
    </xf>
    <xf numFmtId="2" fontId="5" fillId="4" borderId="10" xfId="2" applyNumberFormat="1" applyFont="1" applyFill="1" applyBorder="1" applyAlignment="1" applyProtection="1">
      <alignment horizontal="left"/>
      <protection hidden="1"/>
    </xf>
    <xf numFmtId="0" fontId="5" fillId="4" borderId="10" xfId="2" applyFont="1" applyFill="1" applyBorder="1" applyAlignment="1" applyProtection="1">
      <alignment horizontal="left" indent="1"/>
      <protection hidden="1"/>
    </xf>
    <xf numFmtId="0" fontId="5" fillId="4" borderId="10" xfId="2" applyFont="1" applyFill="1" applyBorder="1" applyProtection="1">
      <protection hidden="1"/>
    </xf>
    <xf numFmtId="0" fontId="5" fillId="4" borderId="11" xfId="2" applyFont="1" applyFill="1" applyBorder="1" applyProtection="1">
      <protection hidden="1"/>
    </xf>
    <xf numFmtId="0" fontId="50" fillId="4" borderId="0" xfId="2" applyFont="1" applyFill="1" applyAlignment="1" applyProtection="1">
      <alignment horizontal="right"/>
      <protection hidden="1"/>
    </xf>
    <xf numFmtId="1" fontId="5" fillId="4" borderId="0" xfId="2" applyNumberFormat="1" applyFont="1" applyFill="1" applyAlignment="1" applyProtection="1">
      <alignment vertical="center"/>
      <protection hidden="1"/>
    </xf>
    <xf numFmtId="1" fontId="5" fillId="4" borderId="0" xfId="2" applyNumberFormat="1" applyFont="1" applyFill="1" applyAlignment="1" applyProtection="1">
      <alignment horizontal="right" vertical="center"/>
      <protection hidden="1"/>
    </xf>
    <xf numFmtId="49" fontId="7" fillId="2" borderId="0" xfId="2" applyNumberFormat="1" applyFont="1" applyFill="1" applyAlignment="1" applyProtection="1">
      <alignment horizontal="left" vertical="center"/>
      <protection hidden="1"/>
    </xf>
    <xf numFmtId="49" fontId="5" fillId="2" borderId="0" xfId="2" applyNumberFormat="1" applyFont="1" applyFill="1" applyAlignment="1" applyProtection="1">
      <alignment vertical="center"/>
      <protection hidden="1"/>
    </xf>
    <xf numFmtId="2" fontId="25" fillId="4" borderId="0" xfId="2" applyNumberFormat="1" applyFont="1" applyFill="1" applyAlignment="1" applyProtection="1">
      <alignment horizontal="right" vertical="center"/>
      <protection hidden="1"/>
    </xf>
    <xf numFmtId="0" fontId="7" fillId="4" borderId="0" xfId="2" applyFont="1" applyFill="1" applyAlignment="1" applyProtection="1">
      <alignment vertical="center" wrapText="1"/>
      <protection hidden="1"/>
    </xf>
    <xf numFmtId="49" fontId="5" fillId="4" borderId="0" xfId="2" applyNumberFormat="1" applyFont="1" applyFill="1" applyAlignment="1" applyProtection="1">
      <alignment horizontal="left" vertical="center"/>
      <protection hidden="1"/>
    </xf>
    <xf numFmtId="0" fontId="51" fillId="4" borderId="0" xfId="2" applyFont="1" applyFill="1" applyAlignment="1" applyProtection="1">
      <alignment horizontal="right" vertical="center"/>
      <protection hidden="1"/>
    </xf>
    <xf numFmtId="0" fontId="50" fillId="4" borderId="0" xfId="2" applyFont="1" applyFill="1" applyAlignment="1" applyProtection="1">
      <alignment horizontal="right" vertical="top"/>
      <protection hidden="1"/>
    </xf>
    <xf numFmtId="0" fontId="50" fillId="4" borderId="0" xfId="2" applyFont="1" applyFill="1" applyAlignment="1" applyProtection="1">
      <alignment horizontal="left" vertical="top"/>
      <protection hidden="1"/>
    </xf>
    <xf numFmtId="2" fontId="18" fillId="4" borderId="0" xfId="2" applyNumberFormat="1" applyFont="1" applyFill="1" applyAlignment="1" applyProtection="1">
      <alignment vertical="center"/>
      <protection hidden="1"/>
    </xf>
    <xf numFmtId="0" fontId="50" fillId="4" borderId="0" xfId="2" applyFont="1" applyFill="1" applyAlignment="1" applyProtection="1">
      <alignment horizontal="right" vertical="top"/>
      <protection hidden="1"/>
    </xf>
    <xf numFmtId="0" fontId="17" fillId="4" borderId="0" xfId="2" applyFont="1" applyFill="1" applyAlignment="1" applyProtection="1">
      <alignment vertical="center"/>
      <protection hidden="1"/>
    </xf>
    <xf numFmtId="0" fontId="17" fillId="4" borderId="0" xfId="2" applyFont="1" applyFill="1" applyAlignment="1" applyProtection="1">
      <alignment horizontal="right" vertical="center"/>
      <protection hidden="1"/>
    </xf>
    <xf numFmtId="0" fontId="5" fillId="5" borderId="0" xfId="2" applyFont="1" applyFill="1" applyAlignment="1" applyProtection="1">
      <alignment vertical="center"/>
      <protection hidden="1"/>
    </xf>
    <xf numFmtId="0" fontId="5" fillId="5" borderId="0" xfId="2" applyFont="1" applyFill="1" applyAlignment="1" applyProtection="1">
      <alignment horizontal="right"/>
      <protection hidden="1"/>
    </xf>
    <xf numFmtId="0" fontId="5" fillId="5" borderId="0" xfId="2" applyFont="1" applyFill="1" applyAlignment="1" applyProtection="1">
      <alignment horizontal="left" indent="1"/>
      <protection hidden="1"/>
    </xf>
    <xf numFmtId="2" fontId="47" fillId="4" borderId="0" xfId="2" applyNumberFormat="1" applyFont="1" applyFill="1" applyAlignment="1" applyProtection="1">
      <alignment horizontal="center" vertical="center"/>
      <protection hidden="1"/>
    </xf>
    <xf numFmtId="171" fontId="47" fillId="4" borderId="0" xfId="2" applyNumberFormat="1" applyFont="1" applyFill="1" applyAlignment="1" applyProtection="1">
      <alignment horizontal="right" vertical="center"/>
      <protection hidden="1"/>
    </xf>
    <xf numFmtId="0" fontId="5" fillId="2" borderId="0" xfId="2" applyFont="1" applyFill="1" applyAlignment="1" applyProtection="1">
      <alignment vertical="center" wrapText="1"/>
      <protection hidden="1"/>
    </xf>
    <xf numFmtId="0" fontId="5" fillId="2" borderId="0" xfId="2" applyFont="1" applyFill="1" applyAlignment="1" applyProtection="1">
      <alignment horizontal="left" vertical="center" indent="4"/>
      <protection hidden="1"/>
    </xf>
    <xf numFmtId="0" fontId="45" fillId="2" borderId="0" xfId="2" applyFont="1" applyFill="1" applyAlignment="1" applyProtection="1">
      <alignment vertical="center"/>
      <protection hidden="1"/>
    </xf>
    <xf numFmtId="0" fontId="5" fillId="2" borderId="0" xfId="2" applyFont="1" applyFill="1" applyAlignment="1" applyProtection="1">
      <alignment horizontal="left" vertical="center" indent="1"/>
      <protection hidden="1"/>
    </xf>
    <xf numFmtId="0" fontId="45" fillId="0" borderId="0" xfId="2" applyFont="1" applyAlignment="1" applyProtection="1">
      <alignment vertical="center"/>
      <protection hidden="1"/>
    </xf>
    <xf numFmtId="0" fontId="5" fillId="0" borderId="0" xfId="2" applyFont="1" applyAlignment="1" applyProtection="1">
      <alignment horizontal="right" vertical="center"/>
      <protection hidden="1"/>
    </xf>
    <xf numFmtId="0" fontId="5" fillId="0" borderId="0" xfId="2" applyFont="1" applyAlignment="1" applyProtection="1">
      <alignment horizontal="right" vertical="center" indent="1"/>
      <protection hidden="1"/>
    </xf>
    <xf numFmtId="2" fontId="5" fillId="0" borderId="0" xfId="2" applyNumberFormat="1" applyFont="1" applyAlignment="1" applyProtection="1">
      <alignment horizontal="right" vertical="center" indent="1"/>
      <protection hidden="1"/>
    </xf>
    <xf numFmtId="0" fontId="5" fillId="0" borderId="0" xfId="2" applyFont="1" applyAlignment="1" applyProtection="1">
      <alignment horizontal="left" vertical="center"/>
      <protection hidden="1"/>
    </xf>
    <xf numFmtId="0" fontId="5" fillId="0" borderId="0" xfId="2" applyFont="1" applyAlignment="1" applyProtection="1">
      <alignment vertical="center" wrapText="1"/>
      <protection hidden="1"/>
    </xf>
    <xf numFmtId="0" fontId="2" fillId="0" borderId="0" xfId="2" applyFont="1" applyAlignment="1" applyProtection="1">
      <alignment horizontal="left" vertical="center"/>
      <protection hidden="1"/>
    </xf>
    <xf numFmtId="0" fontId="5" fillId="0" borderId="0" xfId="2" applyFont="1" applyAlignment="1" applyProtection="1">
      <alignment horizontal="left" vertical="center" indent="1"/>
      <protection hidden="1"/>
    </xf>
    <xf numFmtId="0" fontId="2" fillId="0" borderId="0" xfId="2" applyFont="1" applyAlignment="1" applyProtection="1">
      <alignment vertical="center"/>
      <protection hidden="1"/>
    </xf>
    <xf numFmtId="2" fontId="5" fillId="0" borderId="0" xfId="2" applyNumberFormat="1" applyFont="1" applyAlignment="1" applyProtection="1">
      <alignment vertical="center"/>
      <protection hidden="1"/>
    </xf>
    <xf numFmtId="0" fontId="17" fillId="0" borderId="0" xfId="2" applyFont="1" applyAlignment="1" applyProtection="1">
      <alignment vertical="center"/>
      <protection hidden="1"/>
    </xf>
    <xf numFmtId="1" fontId="5" fillId="0" borderId="0" xfId="2" applyNumberFormat="1" applyFont="1" applyAlignment="1" applyProtection="1">
      <alignment horizontal="right" vertical="center"/>
      <protection hidden="1"/>
    </xf>
    <xf numFmtId="2" fontId="5" fillId="0" borderId="0" xfId="2" applyNumberFormat="1" applyFont="1" applyAlignment="1" applyProtection="1">
      <alignment horizontal="center" vertical="center"/>
      <protection hidden="1"/>
    </xf>
    <xf numFmtId="0" fontId="25" fillId="0" borderId="0" xfId="2" applyFont="1" applyAlignment="1" applyProtection="1">
      <alignment horizontal="left" vertical="center"/>
      <protection hidden="1"/>
    </xf>
    <xf numFmtId="2" fontId="5" fillId="0" borderId="0" xfId="2" applyNumberFormat="1" applyFont="1" applyAlignment="1" applyProtection="1">
      <alignment horizontal="right" vertical="center"/>
      <protection hidden="1"/>
    </xf>
    <xf numFmtId="49" fontId="5" fillId="0" borderId="0" xfId="2" applyNumberFormat="1" applyFont="1" applyAlignment="1" applyProtection="1">
      <alignment vertical="center"/>
      <protection hidden="1"/>
    </xf>
    <xf numFmtId="0" fontId="26" fillId="0" borderId="0" xfId="2" applyFont="1" applyAlignment="1" applyProtection="1">
      <alignment vertical="center"/>
      <protection hidden="1"/>
    </xf>
    <xf numFmtId="0" fontId="18" fillId="0" borderId="0" xfId="2" applyFont="1" applyAlignment="1" applyProtection="1">
      <alignment horizontal="right" vertical="center"/>
      <protection hidden="1"/>
    </xf>
    <xf numFmtId="2" fontId="47" fillId="0" borderId="0" xfId="2" applyNumberFormat="1" applyFont="1" applyAlignment="1" applyProtection="1">
      <alignment horizontal="right" vertical="center"/>
      <protection hidden="1"/>
    </xf>
    <xf numFmtId="0" fontId="47" fillId="0" borderId="0" xfId="2" applyFont="1" applyAlignment="1" applyProtection="1">
      <alignment horizontal="center" vertical="center"/>
      <protection hidden="1"/>
    </xf>
    <xf numFmtId="0" fontId="52" fillId="0" borderId="0" xfId="2" applyFont="1" applyAlignment="1" applyProtection="1">
      <alignment vertical="center"/>
      <protection hidden="1"/>
    </xf>
    <xf numFmtId="0" fontId="18" fillId="0" borderId="0" xfId="2" applyFont="1" applyAlignment="1" applyProtection="1">
      <alignment horizontal="left" vertical="center"/>
      <protection hidden="1"/>
    </xf>
    <xf numFmtId="2" fontId="49" fillId="0" borderId="0" xfId="2" applyNumberFormat="1" applyFont="1" applyAlignment="1" applyProtection="1">
      <alignment horizontal="right" vertical="center"/>
      <protection hidden="1"/>
    </xf>
    <xf numFmtId="0" fontId="49" fillId="0" borderId="0" xfId="2" applyFont="1" applyAlignment="1" applyProtection="1">
      <alignment horizontal="center" vertical="center"/>
      <protection hidden="1"/>
    </xf>
    <xf numFmtId="2" fontId="11" fillId="5" borderId="15" xfId="2" applyNumberFormat="1" applyFont="1" applyFill="1" applyBorder="1" applyAlignment="1" applyProtection="1">
      <alignment horizontal="center" vertical="center"/>
      <protection hidden="1"/>
    </xf>
    <xf numFmtId="1" fontId="3" fillId="5" borderId="17" xfId="2" applyNumberFormat="1" applyFont="1" applyFill="1" applyBorder="1" applyAlignment="1" applyProtection="1">
      <alignment horizontal="center" vertical="center"/>
      <protection hidden="1"/>
    </xf>
    <xf numFmtId="1" fontId="3" fillId="5" borderId="18" xfId="2" applyNumberFormat="1" applyFont="1" applyFill="1" applyBorder="1" applyAlignment="1" applyProtection="1">
      <alignment horizontal="center" vertical="center"/>
      <protection hidden="1"/>
    </xf>
    <xf numFmtId="2" fontId="3" fillId="5" borderId="17" xfId="2" applyNumberFormat="1" applyFont="1" applyFill="1" applyBorder="1" applyAlignment="1" applyProtection="1">
      <alignment horizontal="center" vertical="center"/>
      <protection hidden="1"/>
    </xf>
    <xf numFmtId="2" fontId="3" fillId="5" borderId="15" xfId="2" applyNumberFormat="1" applyFont="1" applyFill="1" applyBorder="1" applyAlignment="1" applyProtection="1">
      <alignment horizontal="center"/>
      <protection hidden="1"/>
    </xf>
  </cellXfs>
  <cellStyles count="4">
    <cellStyle name="Normale" xfId="0" builtinId="0"/>
    <cellStyle name="Normale 2 4" xfId="2" xr:uid="{FB93A96E-02AC-441C-A80B-BD4429E74CBD}"/>
    <cellStyle name="Normale 7" xfId="3" xr:uid="{B67E03D8-381A-497F-A588-1007CD1A7D20}"/>
    <cellStyle name="Percentuale" xfId="1" builtinId="5"/>
  </cellStyles>
  <dxfs count="33">
    <dxf>
      <font>
        <color rgb="FFFF0000"/>
      </font>
      <fill>
        <patternFill patternType="none">
          <bgColor indexed="65"/>
        </patternFill>
      </fill>
    </dxf>
    <dxf>
      <font>
        <color rgb="FFFF0000"/>
      </font>
    </dxf>
    <dxf>
      <font>
        <strike val="0"/>
      </font>
      <fill>
        <patternFill patternType="none">
          <bgColor indexed="65"/>
        </patternFill>
      </fill>
    </dxf>
    <dxf>
      <font>
        <color rgb="FFFF0000"/>
      </font>
      <fill>
        <patternFill patternType="none">
          <bgColor indexed="65"/>
        </patternFill>
      </fill>
    </dxf>
    <dxf>
      <font>
        <color rgb="FFFF0000"/>
      </font>
    </dxf>
    <dxf>
      <font>
        <strike val="0"/>
      </font>
      <fill>
        <patternFill patternType="none">
          <bgColor indexed="65"/>
        </patternFill>
      </fill>
    </dxf>
    <dxf>
      <font>
        <color rgb="FFFF0000"/>
      </font>
      <fill>
        <patternFill patternType="none">
          <bgColor indexed="65"/>
        </patternFill>
      </fill>
    </dxf>
    <dxf>
      <font>
        <color rgb="FFFF0000"/>
      </font>
    </dxf>
    <dxf>
      <font>
        <strike val="0"/>
      </font>
      <fill>
        <patternFill patternType="none">
          <bgColor indexed="65"/>
        </patternFill>
      </fill>
    </dxf>
    <dxf>
      <font>
        <color rgb="FFFF0000"/>
      </font>
      <fill>
        <patternFill patternType="none">
          <bgColor indexed="65"/>
        </patternFill>
      </fill>
    </dxf>
    <dxf>
      <font>
        <color rgb="FFFF0000"/>
      </font>
    </dxf>
    <dxf>
      <font>
        <strike val="0"/>
      </font>
      <fill>
        <patternFill patternType="none">
          <bgColor indexed="65"/>
        </patternFill>
      </fill>
    </dxf>
    <dxf>
      <font>
        <color rgb="FFFF0000"/>
      </font>
      <fill>
        <patternFill patternType="none">
          <bgColor indexed="65"/>
        </patternFill>
      </fill>
    </dxf>
    <dxf>
      <font>
        <color rgb="FFFF0000"/>
      </font>
    </dxf>
    <dxf>
      <font>
        <strike val="0"/>
      </font>
      <fill>
        <patternFill patternType="none">
          <bgColor indexed="65"/>
        </patternFill>
      </fill>
    </dxf>
    <dxf>
      <font>
        <color rgb="FFFF0000"/>
      </font>
      <fill>
        <patternFill patternType="none">
          <bgColor indexed="65"/>
        </patternFill>
      </fill>
    </dxf>
    <dxf>
      <font>
        <color rgb="FFFF0000"/>
      </font>
    </dxf>
    <dxf>
      <font>
        <color rgb="FFFF0000"/>
      </font>
      <fill>
        <patternFill patternType="none">
          <bgColor indexed="65"/>
        </patternFill>
      </fill>
    </dxf>
    <dxf>
      <font>
        <color rgb="FFFF0000"/>
      </font>
    </dxf>
    <dxf>
      <font>
        <color rgb="FFFF0000"/>
      </font>
      <fill>
        <patternFill patternType="none">
          <bgColor indexed="65"/>
        </patternFill>
      </fill>
    </dxf>
    <dxf>
      <font>
        <color rgb="FFFF0000"/>
      </font>
    </dxf>
    <dxf>
      <font>
        <color rgb="FFFF0000"/>
      </font>
      <fill>
        <patternFill patternType="none">
          <bgColor indexed="65"/>
        </patternFill>
      </fill>
    </dxf>
    <dxf>
      <font>
        <color rgb="FFFF0000"/>
      </font>
    </dxf>
    <dxf>
      <font>
        <color rgb="FFFF0000"/>
      </font>
      <fill>
        <patternFill patternType="none">
          <bgColor indexed="65"/>
        </patternFill>
      </fill>
    </dxf>
    <dxf>
      <font>
        <color rgb="FFFF0000"/>
      </font>
    </dxf>
    <dxf>
      <font>
        <color rgb="FFFF0000"/>
      </font>
      <fill>
        <patternFill patternType="none">
          <bgColor indexed="65"/>
        </patternFill>
      </fill>
    </dxf>
    <dxf>
      <font>
        <color rgb="FFFF0000"/>
      </font>
    </dxf>
    <dxf>
      <font>
        <strike val="0"/>
        <color rgb="FF008000"/>
      </font>
    </dxf>
    <dxf>
      <font>
        <b/>
        <i val="0"/>
        <condense val="0"/>
        <extend val="0"/>
        <color indexed="10"/>
      </font>
    </dxf>
    <dxf>
      <font>
        <color theme="0"/>
      </font>
    </dxf>
    <dxf>
      <font>
        <b/>
        <i val="0"/>
        <condense val="0"/>
        <extend val="0"/>
        <color indexed="10"/>
      </font>
    </dxf>
    <dxf>
      <font>
        <color rgb="FF009900"/>
      </font>
    </dxf>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10</xdr:col>
      <xdr:colOff>660400</xdr:colOff>
      <xdr:row>182</xdr:row>
      <xdr:rowOff>76200</xdr:rowOff>
    </xdr:from>
    <xdr:to>
      <xdr:col>11</xdr:col>
      <xdr:colOff>31750</xdr:colOff>
      <xdr:row>184</xdr:row>
      <xdr:rowOff>114300</xdr:rowOff>
    </xdr:to>
    <xdr:sp macro="" textlink="">
      <xdr:nvSpPr>
        <xdr:cNvPr id="2" name="AutoShape 30">
          <a:extLst>
            <a:ext uri="{FF2B5EF4-FFF2-40B4-BE49-F238E27FC236}">
              <a16:creationId xmlns:a16="http://schemas.microsoft.com/office/drawing/2014/main" id="{BC26E505-6268-41C9-AA23-85ECD78503A1}"/>
            </a:ext>
          </a:extLst>
        </xdr:cNvPr>
        <xdr:cNvSpPr>
          <a:spLocks/>
        </xdr:cNvSpPr>
      </xdr:nvSpPr>
      <xdr:spPr bwMode="auto">
        <a:xfrm>
          <a:off x="8210550" y="33991550"/>
          <a:ext cx="228600" cy="419100"/>
        </a:xfrm>
        <a:prstGeom prst="rightBrace">
          <a:avLst>
            <a:gd name="adj1" fmla="val 352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660400</xdr:colOff>
      <xdr:row>182</xdr:row>
      <xdr:rowOff>76200</xdr:rowOff>
    </xdr:from>
    <xdr:to>
      <xdr:col>11</xdr:col>
      <xdr:colOff>31750</xdr:colOff>
      <xdr:row>184</xdr:row>
      <xdr:rowOff>114300</xdr:rowOff>
    </xdr:to>
    <xdr:sp macro="" textlink="">
      <xdr:nvSpPr>
        <xdr:cNvPr id="3" name="AutoShape 30">
          <a:extLst>
            <a:ext uri="{FF2B5EF4-FFF2-40B4-BE49-F238E27FC236}">
              <a16:creationId xmlns:a16="http://schemas.microsoft.com/office/drawing/2014/main" id="{FA5B8724-B2E5-440F-AF9F-7DED97658681}"/>
            </a:ext>
          </a:extLst>
        </xdr:cNvPr>
        <xdr:cNvSpPr>
          <a:spLocks/>
        </xdr:cNvSpPr>
      </xdr:nvSpPr>
      <xdr:spPr bwMode="auto">
        <a:xfrm>
          <a:off x="8210550" y="33991550"/>
          <a:ext cx="228600" cy="419100"/>
        </a:xfrm>
        <a:prstGeom prst="rightBrace">
          <a:avLst>
            <a:gd name="adj1" fmla="val 352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31750</xdr:colOff>
      <xdr:row>29</xdr:row>
      <xdr:rowOff>76200</xdr:rowOff>
    </xdr:from>
    <xdr:to>
      <xdr:col>13</xdr:col>
      <xdr:colOff>273051</xdr:colOff>
      <xdr:row>34</xdr:row>
      <xdr:rowOff>139700</xdr:rowOff>
    </xdr:to>
    <xdr:pic>
      <xdr:nvPicPr>
        <xdr:cNvPr id="4" name="Immagine 7">
          <a:extLst>
            <a:ext uri="{FF2B5EF4-FFF2-40B4-BE49-F238E27FC236}">
              <a16:creationId xmlns:a16="http://schemas.microsoft.com/office/drawing/2014/main" id="{AC4B0D53-32B8-4C4C-B33B-9B063F6FCC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23100" y="5581650"/>
          <a:ext cx="3016250" cy="1022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527050</xdr:colOff>
      <xdr:row>28</xdr:row>
      <xdr:rowOff>146050</xdr:rowOff>
    </xdr:from>
    <xdr:to>
      <xdr:col>8</xdr:col>
      <xdr:colOff>647700</xdr:colOff>
      <xdr:row>35</xdr:row>
      <xdr:rowOff>19050</xdr:rowOff>
    </xdr:to>
    <xdr:pic>
      <xdr:nvPicPr>
        <xdr:cNvPr id="5" name="Immagine 8">
          <a:extLst>
            <a:ext uri="{FF2B5EF4-FFF2-40B4-BE49-F238E27FC236}">
              <a16:creationId xmlns:a16="http://schemas.microsoft.com/office/drawing/2014/main" id="{52DF67BA-AD6A-4CBD-B7DC-E9AF73E9DDC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962650" y="5461000"/>
          <a:ext cx="869950" cy="1206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298450</xdr:colOff>
      <xdr:row>113</xdr:row>
      <xdr:rowOff>76200</xdr:rowOff>
    </xdr:from>
    <xdr:to>
      <xdr:col>13</xdr:col>
      <xdr:colOff>1</xdr:colOff>
      <xdr:row>121</xdr:row>
      <xdr:rowOff>76200</xdr:rowOff>
    </xdr:to>
    <xdr:pic>
      <xdr:nvPicPr>
        <xdr:cNvPr id="6" name="Immagine 9">
          <a:extLst>
            <a:ext uri="{FF2B5EF4-FFF2-40B4-BE49-F238E27FC236}">
              <a16:creationId xmlns:a16="http://schemas.microsoft.com/office/drawing/2014/main" id="{A67BA987-0B31-4758-9B0D-3C78C5D28FAF}"/>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705850" y="21145500"/>
          <a:ext cx="1060450" cy="144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127000</xdr:colOff>
      <xdr:row>188</xdr:row>
      <xdr:rowOff>114300</xdr:rowOff>
    </xdr:from>
    <xdr:to>
      <xdr:col>12</xdr:col>
      <xdr:colOff>501650</xdr:colOff>
      <xdr:row>196</xdr:row>
      <xdr:rowOff>139700</xdr:rowOff>
    </xdr:to>
    <xdr:pic>
      <xdr:nvPicPr>
        <xdr:cNvPr id="7" name="Immagine 10">
          <a:extLst>
            <a:ext uri="{FF2B5EF4-FFF2-40B4-BE49-F238E27FC236}">
              <a16:creationId xmlns:a16="http://schemas.microsoft.com/office/drawing/2014/main" id="{C7B52FEE-1671-424D-B3BE-351BB56A88CF}"/>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534400" y="35172650"/>
          <a:ext cx="1123950" cy="155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45</xdr:col>
      <xdr:colOff>38100</xdr:colOff>
      <xdr:row>26</xdr:row>
      <xdr:rowOff>76200</xdr:rowOff>
    </xdr:from>
    <xdr:to>
      <xdr:col>57</xdr:col>
      <xdr:colOff>583912</xdr:colOff>
      <xdr:row>28</xdr:row>
      <xdr:rowOff>114300</xdr:rowOff>
    </xdr:to>
    <xdr:sp macro="" textlink="">
      <xdr:nvSpPr>
        <xdr:cNvPr id="8" name="copia" hidden="1">
          <a:extLst>
            <a:ext uri="{FF2B5EF4-FFF2-40B4-BE49-F238E27FC236}">
              <a16:creationId xmlns:a16="http://schemas.microsoft.com/office/drawing/2014/main" id="{7BE1B10F-AC4A-4674-A52C-63BB3CBAE33D}"/>
            </a:ext>
          </a:extLst>
        </xdr:cNvPr>
        <xdr:cNvSpPr>
          <a:spLocks noChangeArrowheads="1"/>
        </xdr:cNvSpPr>
      </xdr:nvSpPr>
      <xdr:spPr bwMode="auto">
        <a:xfrm>
          <a:off x="29978350" y="5010150"/>
          <a:ext cx="59055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WC\MODELLI%20di%20file%20per%20cls\CA.XLS"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server\Armalam\A.R.E\ARE%204.0\NTC\NTC_VERIFICA_TRAVI.xls" TargetMode="External"/><Relationship Id="rId1" Type="http://schemas.openxmlformats.org/officeDocument/2006/relationships/externalLinkPath" Target="/A.R.E/ARE%204.0/NTC/NTC_VERIFICA_TRAV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2campasimm+s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ER Sez. rettangolare"/>
      <sheetName val="MATERIALI"/>
      <sheetName val="SAP"/>
      <sheetName val="VER Sez. T"/>
      <sheetName val="Taglio"/>
      <sheetName val="inviluppi"/>
      <sheetName val="SLE"/>
    </sheetNames>
    <sheetDataSet>
      <sheetData sheetId="0" refreshError="1">
        <row r="9">
          <cell r="O9">
            <v>0.85</v>
          </cell>
        </row>
        <row r="11">
          <cell r="O11">
            <v>15.562499999999998</v>
          </cell>
        </row>
        <row r="17">
          <cell r="O17">
            <v>373.91304347826087</v>
          </cell>
        </row>
        <row r="18">
          <cell r="O18">
            <v>210000</v>
          </cell>
        </row>
        <row r="19">
          <cell r="O19">
            <v>1.7805383022774328E-3</v>
          </cell>
        </row>
      </sheetData>
      <sheetData sheetId="1" refreshError="1"/>
      <sheetData sheetId="2" refreshError="1"/>
      <sheetData sheetId="3" refreshError="1"/>
      <sheetData sheetId="4" refreshError="1"/>
      <sheetData sheetId="5"/>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OTHO"/>
      <sheetName val="INFO"/>
      <sheetName val="TRAVI_GENERICHE"/>
      <sheetName val="fl. semplice"/>
      <sheetName val="fl. composta"/>
      <sheetName val="pressofl. comp."/>
      <sheetName val="tensofl. comp."/>
      <sheetName val="TRAVI"/>
      <sheetName val="01_2appoggi"/>
      <sheetName val="02_2appoggi+sbalzo "/>
      <sheetName val="03_mensola"/>
      <sheetName val="04_displuvio"/>
      <sheetName val="05_carico triangolare"/>
      <sheetName val="06_2app+P"/>
      <sheetName val="07_flessione_devi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glio1"/>
      <sheetName val="intestaTL"/>
      <sheetName val="Foglio1 (2)"/>
      <sheetName val="travetti 2 camp asim var (2)"/>
      <sheetName val="Foglio1 (3)"/>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6A387B-D0CA-4DE7-9B87-55E50A078C9B}">
  <sheetPr codeName="F21">
    <pageSetUpPr autoPageBreaks="0"/>
  </sheetPr>
  <dimension ref="A1:BL340"/>
  <sheetViews>
    <sheetView tabSelected="1" view="pageBreakPreview" topLeftCell="F1" zoomScale="85" zoomScaleNormal="100" zoomScaleSheetLayoutView="85" workbookViewId="0">
      <selection activeCell="H19" sqref="H19"/>
    </sheetView>
  </sheetViews>
  <sheetFormatPr defaultColWidth="9.54296875" defaultRowHeight="15" customHeight="1" x14ac:dyDescent="0.25"/>
  <cols>
    <col min="1" max="1" width="10.453125" style="11" hidden="1" customWidth="1"/>
    <col min="2" max="2" width="12.54296875" style="11" hidden="1" customWidth="1"/>
    <col min="3" max="3" width="11.453125" style="11" hidden="1" customWidth="1"/>
    <col min="4" max="5" width="9.26953125" style="11" hidden="1" customWidth="1"/>
    <col min="6" max="6" width="11.54296875" style="11" customWidth="1"/>
    <col min="7" max="7" width="13.26953125" style="11" customWidth="1"/>
    <col min="8" max="8" width="10.7265625" style="11" customWidth="1"/>
    <col min="9" max="9" width="11.54296875" style="11" customWidth="1"/>
    <col min="10" max="10" width="8" style="11" customWidth="1"/>
    <col min="11" max="11" width="12.26953125" style="11" customWidth="1"/>
    <col min="12" max="12" width="10.7265625" style="11" customWidth="1"/>
    <col min="13" max="13" width="8.7265625" style="11" customWidth="1"/>
    <col min="14" max="14" width="5.7265625" style="11" customWidth="1"/>
    <col min="15" max="15" width="6" style="11" hidden="1" customWidth="1"/>
    <col min="16" max="16" width="8.7265625" style="11" hidden="1" customWidth="1"/>
    <col min="17" max="18" width="11.26953125" style="11" hidden="1" customWidth="1"/>
    <col min="19" max="20" width="11.54296875" style="11" hidden="1" customWidth="1"/>
    <col min="21" max="21" width="10" style="11" hidden="1" customWidth="1"/>
    <col min="22" max="22" width="9.54296875" style="11" hidden="1" customWidth="1"/>
    <col min="23" max="24" width="8.7265625" style="11" hidden="1" customWidth="1"/>
    <col min="25" max="28" width="9.26953125" style="11" hidden="1" customWidth="1"/>
    <col min="29" max="30" width="9.453125" style="11" hidden="1" customWidth="1"/>
    <col min="31" max="31" width="9.26953125" style="11" hidden="1" customWidth="1"/>
    <col min="32" max="32" width="7" style="11" hidden="1" customWidth="1"/>
    <col min="33" max="49" width="8.7265625" style="11" hidden="1" customWidth="1"/>
    <col min="50" max="51" width="9.54296875" style="11" hidden="1" customWidth="1"/>
    <col min="52" max="52" width="13" style="23" hidden="1" customWidth="1"/>
    <col min="53" max="55" width="13" style="24" hidden="1" customWidth="1"/>
    <col min="56" max="56" width="13" style="25" hidden="1" customWidth="1"/>
    <col min="57" max="57" width="9.54296875" style="11" hidden="1" customWidth="1"/>
    <col min="58" max="256" width="9.54296875" style="11"/>
    <col min="257" max="257" width="10.453125" style="11" customWidth="1"/>
    <col min="258" max="258" width="12.54296875" style="11" customWidth="1"/>
    <col min="259" max="259" width="11.453125" style="11" customWidth="1"/>
    <col min="260" max="261" width="9.26953125" style="11" customWidth="1"/>
    <col min="262" max="262" width="11.54296875" style="11" customWidth="1"/>
    <col min="263" max="263" width="13.26953125" style="11" customWidth="1"/>
    <col min="264" max="264" width="10.7265625" style="11" customWidth="1"/>
    <col min="265" max="265" width="11.54296875" style="11" customWidth="1"/>
    <col min="266" max="266" width="8" style="11" customWidth="1"/>
    <col min="267" max="267" width="12.26953125" style="11" customWidth="1"/>
    <col min="268" max="268" width="10.7265625" style="11" customWidth="1"/>
    <col min="269" max="269" width="8.7265625" style="11" customWidth="1"/>
    <col min="270" max="270" width="5.7265625" style="11" customWidth="1"/>
    <col min="271" max="271" width="6" style="11" customWidth="1"/>
    <col min="272" max="272" width="8.7265625" style="11" customWidth="1"/>
    <col min="273" max="274" width="11.26953125" style="11" customWidth="1"/>
    <col min="275" max="276" width="11.54296875" style="11" customWidth="1"/>
    <col min="277" max="277" width="10" style="11" customWidth="1"/>
    <col min="278" max="278" width="9.54296875" style="11"/>
    <col min="279" max="280" width="8.7265625" style="11" customWidth="1"/>
    <col min="281" max="284" width="9.26953125" style="11" customWidth="1"/>
    <col min="285" max="286" width="9.453125" style="11" customWidth="1"/>
    <col min="287" max="287" width="9.26953125" style="11" customWidth="1"/>
    <col min="288" max="288" width="7" style="11" customWidth="1"/>
    <col min="289" max="305" width="8.7265625" style="11" customWidth="1"/>
    <col min="306" max="307" width="9.54296875" style="11"/>
    <col min="308" max="312" width="13" style="11" customWidth="1"/>
    <col min="313" max="512" width="9.54296875" style="11"/>
    <col min="513" max="513" width="10.453125" style="11" customWidth="1"/>
    <col min="514" max="514" width="12.54296875" style="11" customWidth="1"/>
    <col min="515" max="515" width="11.453125" style="11" customWidth="1"/>
    <col min="516" max="517" width="9.26953125" style="11" customWidth="1"/>
    <col min="518" max="518" width="11.54296875" style="11" customWidth="1"/>
    <col min="519" max="519" width="13.26953125" style="11" customWidth="1"/>
    <col min="520" max="520" width="10.7265625" style="11" customWidth="1"/>
    <col min="521" max="521" width="11.54296875" style="11" customWidth="1"/>
    <col min="522" max="522" width="8" style="11" customWidth="1"/>
    <col min="523" max="523" width="12.26953125" style="11" customWidth="1"/>
    <col min="524" max="524" width="10.7265625" style="11" customWidth="1"/>
    <col min="525" max="525" width="8.7265625" style="11" customWidth="1"/>
    <col min="526" max="526" width="5.7265625" style="11" customWidth="1"/>
    <col min="527" max="527" width="6" style="11" customWidth="1"/>
    <col min="528" max="528" width="8.7265625" style="11" customWidth="1"/>
    <col min="529" max="530" width="11.26953125" style="11" customWidth="1"/>
    <col min="531" max="532" width="11.54296875" style="11" customWidth="1"/>
    <col min="533" max="533" width="10" style="11" customWidth="1"/>
    <col min="534" max="534" width="9.54296875" style="11"/>
    <col min="535" max="536" width="8.7265625" style="11" customWidth="1"/>
    <col min="537" max="540" width="9.26953125" style="11" customWidth="1"/>
    <col min="541" max="542" width="9.453125" style="11" customWidth="1"/>
    <col min="543" max="543" width="9.26953125" style="11" customWidth="1"/>
    <col min="544" max="544" width="7" style="11" customWidth="1"/>
    <col min="545" max="561" width="8.7265625" style="11" customWidth="1"/>
    <col min="562" max="563" width="9.54296875" style="11"/>
    <col min="564" max="568" width="13" style="11" customWidth="1"/>
    <col min="569" max="768" width="9.54296875" style="11"/>
    <col min="769" max="769" width="10.453125" style="11" customWidth="1"/>
    <col min="770" max="770" width="12.54296875" style="11" customWidth="1"/>
    <col min="771" max="771" width="11.453125" style="11" customWidth="1"/>
    <col min="772" max="773" width="9.26953125" style="11" customWidth="1"/>
    <col min="774" max="774" width="11.54296875" style="11" customWidth="1"/>
    <col min="775" max="775" width="13.26953125" style="11" customWidth="1"/>
    <col min="776" max="776" width="10.7265625" style="11" customWidth="1"/>
    <col min="777" max="777" width="11.54296875" style="11" customWidth="1"/>
    <col min="778" max="778" width="8" style="11" customWidth="1"/>
    <col min="779" max="779" width="12.26953125" style="11" customWidth="1"/>
    <col min="780" max="780" width="10.7265625" style="11" customWidth="1"/>
    <col min="781" max="781" width="8.7265625" style="11" customWidth="1"/>
    <col min="782" max="782" width="5.7265625" style="11" customWidth="1"/>
    <col min="783" max="783" width="6" style="11" customWidth="1"/>
    <col min="784" max="784" width="8.7265625" style="11" customWidth="1"/>
    <col min="785" max="786" width="11.26953125" style="11" customWidth="1"/>
    <col min="787" max="788" width="11.54296875" style="11" customWidth="1"/>
    <col min="789" max="789" width="10" style="11" customWidth="1"/>
    <col min="790" max="790" width="9.54296875" style="11"/>
    <col min="791" max="792" width="8.7265625" style="11" customWidth="1"/>
    <col min="793" max="796" width="9.26953125" style="11" customWidth="1"/>
    <col min="797" max="798" width="9.453125" style="11" customWidth="1"/>
    <col min="799" max="799" width="9.26953125" style="11" customWidth="1"/>
    <col min="800" max="800" width="7" style="11" customWidth="1"/>
    <col min="801" max="817" width="8.7265625" style="11" customWidth="1"/>
    <col min="818" max="819" width="9.54296875" style="11"/>
    <col min="820" max="824" width="13" style="11" customWidth="1"/>
    <col min="825" max="1024" width="9.54296875" style="11"/>
    <col min="1025" max="1025" width="10.453125" style="11" customWidth="1"/>
    <col min="1026" max="1026" width="12.54296875" style="11" customWidth="1"/>
    <col min="1027" max="1027" width="11.453125" style="11" customWidth="1"/>
    <col min="1028" max="1029" width="9.26953125" style="11" customWidth="1"/>
    <col min="1030" max="1030" width="11.54296875" style="11" customWidth="1"/>
    <col min="1031" max="1031" width="13.26953125" style="11" customWidth="1"/>
    <col min="1032" max="1032" width="10.7265625" style="11" customWidth="1"/>
    <col min="1033" max="1033" width="11.54296875" style="11" customWidth="1"/>
    <col min="1034" max="1034" width="8" style="11" customWidth="1"/>
    <col min="1035" max="1035" width="12.26953125" style="11" customWidth="1"/>
    <col min="1036" max="1036" width="10.7265625" style="11" customWidth="1"/>
    <col min="1037" max="1037" width="8.7265625" style="11" customWidth="1"/>
    <col min="1038" max="1038" width="5.7265625" style="11" customWidth="1"/>
    <col min="1039" max="1039" width="6" style="11" customWidth="1"/>
    <col min="1040" max="1040" width="8.7265625" style="11" customWidth="1"/>
    <col min="1041" max="1042" width="11.26953125" style="11" customWidth="1"/>
    <col min="1043" max="1044" width="11.54296875" style="11" customWidth="1"/>
    <col min="1045" max="1045" width="10" style="11" customWidth="1"/>
    <col min="1046" max="1046" width="9.54296875" style="11"/>
    <col min="1047" max="1048" width="8.7265625" style="11" customWidth="1"/>
    <col min="1049" max="1052" width="9.26953125" style="11" customWidth="1"/>
    <col min="1053" max="1054" width="9.453125" style="11" customWidth="1"/>
    <col min="1055" max="1055" width="9.26953125" style="11" customWidth="1"/>
    <col min="1056" max="1056" width="7" style="11" customWidth="1"/>
    <col min="1057" max="1073" width="8.7265625" style="11" customWidth="1"/>
    <col min="1074" max="1075" width="9.54296875" style="11"/>
    <col min="1076" max="1080" width="13" style="11" customWidth="1"/>
    <col min="1081" max="1280" width="9.54296875" style="11"/>
    <col min="1281" max="1281" width="10.453125" style="11" customWidth="1"/>
    <col min="1282" max="1282" width="12.54296875" style="11" customWidth="1"/>
    <col min="1283" max="1283" width="11.453125" style="11" customWidth="1"/>
    <col min="1284" max="1285" width="9.26953125" style="11" customWidth="1"/>
    <col min="1286" max="1286" width="11.54296875" style="11" customWidth="1"/>
    <col min="1287" max="1287" width="13.26953125" style="11" customWidth="1"/>
    <col min="1288" max="1288" width="10.7265625" style="11" customWidth="1"/>
    <col min="1289" max="1289" width="11.54296875" style="11" customWidth="1"/>
    <col min="1290" max="1290" width="8" style="11" customWidth="1"/>
    <col min="1291" max="1291" width="12.26953125" style="11" customWidth="1"/>
    <col min="1292" max="1292" width="10.7265625" style="11" customWidth="1"/>
    <col min="1293" max="1293" width="8.7265625" style="11" customWidth="1"/>
    <col min="1294" max="1294" width="5.7265625" style="11" customWidth="1"/>
    <col min="1295" max="1295" width="6" style="11" customWidth="1"/>
    <col min="1296" max="1296" width="8.7265625" style="11" customWidth="1"/>
    <col min="1297" max="1298" width="11.26953125" style="11" customWidth="1"/>
    <col min="1299" max="1300" width="11.54296875" style="11" customWidth="1"/>
    <col min="1301" max="1301" width="10" style="11" customWidth="1"/>
    <col min="1302" max="1302" width="9.54296875" style="11"/>
    <col min="1303" max="1304" width="8.7265625" style="11" customWidth="1"/>
    <col min="1305" max="1308" width="9.26953125" style="11" customWidth="1"/>
    <col min="1309" max="1310" width="9.453125" style="11" customWidth="1"/>
    <col min="1311" max="1311" width="9.26953125" style="11" customWidth="1"/>
    <col min="1312" max="1312" width="7" style="11" customWidth="1"/>
    <col min="1313" max="1329" width="8.7265625" style="11" customWidth="1"/>
    <col min="1330" max="1331" width="9.54296875" style="11"/>
    <col min="1332" max="1336" width="13" style="11" customWidth="1"/>
    <col min="1337" max="1536" width="9.54296875" style="11"/>
    <col min="1537" max="1537" width="10.453125" style="11" customWidth="1"/>
    <col min="1538" max="1538" width="12.54296875" style="11" customWidth="1"/>
    <col min="1539" max="1539" width="11.453125" style="11" customWidth="1"/>
    <col min="1540" max="1541" width="9.26953125" style="11" customWidth="1"/>
    <col min="1542" max="1542" width="11.54296875" style="11" customWidth="1"/>
    <col min="1543" max="1543" width="13.26953125" style="11" customWidth="1"/>
    <col min="1544" max="1544" width="10.7265625" style="11" customWidth="1"/>
    <col min="1545" max="1545" width="11.54296875" style="11" customWidth="1"/>
    <col min="1546" max="1546" width="8" style="11" customWidth="1"/>
    <col min="1547" max="1547" width="12.26953125" style="11" customWidth="1"/>
    <col min="1548" max="1548" width="10.7265625" style="11" customWidth="1"/>
    <col min="1549" max="1549" width="8.7265625" style="11" customWidth="1"/>
    <col min="1550" max="1550" width="5.7265625" style="11" customWidth="1"/>
    <col min="1551" max="1551" width="6" style="11" customWidth="1"/>
    <col min="1552" max="1552" width="8.7265625" style="11" customWidth="1"/>
    <col min="1553" max="1554" width="11.26953125" style="11" customWidth="1"/>
    <col min="1555" max="1556" width="11.54296875" style="11" customWidth="1"/>
    <col min="1557" max="1557" width="10" style="11" customWidth="1"/>
    <col min="1558" max="1558" width="9.54296875" style="11"/>
    <col min="1559" max="1560" width="8.7265625" style="11" customWidth="1"/>
    <col min="1561" max="1564" width="9.26953125" style="11" customWidth="1"/>
    <col min="1565" max="1566" width="9.453125" style="11" customWidth="1"/>
    <col min="1567" max="1567" width="9.26953125" style="11" customWidth="1"/>
    <col min="1568" max="1568" width="7" style="11" customWidth="1"/>
    <col min="1569" max="1585" width="8.7265625" style="11" customWidth="1"/>
    <col min="1586" max="1587" width="9.54296875" style="11"/>
    <col min="1588" max="1592" width="13" style="11" customWidth="1"/>
    <col min="1593" max="1792" width="9.54296875" style="11"/>
    <col min="1793" max="1793" width="10.453125" style="11" customWidth="1"/>
    <col min="1794" max="1794" width="12.54296875" style="11" customWidth="1"/>
    <col min="1795" max="1795" width="11.453125" style="11" customWidth="1"/>
    <col min="1796" max="1797" width="9.26953125" style="11" customWidth="1"/>
    <col min="1798" max="1798" width="11.54296875" style="11" customWidth="1"/>
    <col min="1799" max="1799" width="13.26953125" style="11" customWidth="1"/>
    <col min="1800" max="1800" width="10.7265625" style="11" customWidth="1"/>
    <col min="1801" max="1801" width="11.54296875" style="11" customWidth="1"/>
    <col min="1802" max="1802" width="8" style="11" customWidth="1"/>
    <col min="1803" max="1803" width="12.26953125" style="11" customWidth="1"/>
    <col min="1804" max="1804" width="10.7265625" style="11" customWidth="1"/>
    <col min="1805" max="1805" width="8.7265625" style="11" customWidth="1"/>
    <col min="1806" max="1806" width="5.7265625" style="11" customWidth="1"/>
    <col min="1807" max="1807" width="6" style="11" customWidth="1"/>
    <col min="1808" max="1808" width="8.7265625" style="11" customWidth="1"/>
    <col min="1809" max="1810" width="11.26953125" style="11" customWidth="1"/>
    <col min="1811" max="1812" width="11.54296875" style="11" customWidth="1"/>
    <col min="1813" max="1813" width="10" style="11" customWidth="1"/>
    <col min="1814" max="1814" width="9.54296875" style="11"/>
    <col min="1815" max="1816" width="8.7265625" style="11" customWidth="1"/>
    <col min="1817" max="1820" width="9.26953125" style="11" customWidth="1"/>
    <col min="1821" max="1822" width="9.453125" style="11" customWidth="1"/>
    <col min="1823" max="1823" width="9.26953125" style="11" customWidth="1"/>
    <col min="1824" max="1824" width="7" style="11" customWidth="1"/>
    <col min="1825" max="1841" width="8.7265625" style="11" customWidth="1"/>
    <col min="1842" max="1843" width="9.54296875" style="11"/>
    <col min="1844" max="1848" width="13" style="11" customWidth="1"/>
    <col min="1849" max="2048" width="9.54296875" style="11"/>
    <col min="2049" max="2049" width="10.453125" style="11" customWidth="1"/>
    <col min="2050" max="2050" width="12.54296875" style="11" customWidth="1"/>
    <col min="2051" max="2051" width="11.453125" style="11" customWidth="1"/>
    <col min="2052" max="2053" width="9.26953125" style="11" customWidth="1"/>
    <col min="2054" max="2054" width="11.54296875" style="11" customWidth="1"/>
    <col min="2055" max="2055" width="13.26953125" style="11" customWidth="1"/>
    <col min="2056" max="2056" width="10.7265625" style="11" customWidth="1"/>
    <col min="2057" max="2057" width="11.54296875" style="11" customWidth="1"/>
    <col min="2058" max="2058" width="8" style="11" customWidth="1"/>
    <col min="2059" max="2059" width="12.26953125" style="11" customWidth="1"/>
    <col min="2060" max="2060" width="10.7265625" style="11" customWidth="1"/>
    <col min="2061" max="2061" width="8.7265625" style="11" customWidth="1"/>
    <col min="2062" max="2062" width="5.7265625" style="11" customWidth="1"/>
    <col min="2063" max="2063" width="6" style="11" customWidth="1"/>
    <col min="2064" max="2064" width="8.7265625" style="11" customWidth="1"/>
    <col min="2065" max="2066" width="11.26953125" style="11" customWidth="1"/>
    <col min="2067" max="2068" width="11.54296875" style="11" customWidth="1"/>
    <col min="2069" max="2069" width="10" style="11" customWidth="1"/>
    <col min="2070" max="2070" width="9.54296875" style="11"/>
    <col min="2071" max="2072" width="8.7265625" style="11" customWidth="1"/>
    <col min="2073" max="2076" width="9.26953125" style="11" customWidth="1"/>
    <col min="2077" max="2078" width="9.453125" style="11" customWidth="1"/>
    <col min="2079" max="2079" width="9.26953125" style="11" customWidth="1"/>
    <col min="2080" max="2080" width="7" style="11" customWidth="1"/>
    <col min="2081" max="2097" width="8.7265625" style="11" customWidth="1"/>
    <col min="2098" max="2099" width="9.54296875" style="11"/>
    <col min="2100" max="2104" width="13" style="11" customWidth="1"/>
    <col min="2105" max="2304" width="9.54296875" style="11"/>
    <col min="2305" max="2305" width="10.453125" style="11" customWidth="1"/>
    <col min="2306" max="2306" width="12.54296875" style="11" customWidth="1"/>
    <col min="2307" max="2307" width="11.453125" style="11" customWidth="1"/>
    <col min="2308" max="2309" width="9.26953125" style="11" customWidth="1"/>
    <col min="2310" max="2310" width="11.54296875" style="11" customWidth="1"/>
    <col min="2311" max="2311" width="13.26953125" style="11" customWidth="1"/>
    <col min="2312" max="2312" width="10.7265625" style="11" customWidth="1"/>
    <col min="2313" max="2313" width="11.54296875" style="11" customWidth="1"/>
    <col min="2314" max="2314" width="8" style="11" customWidth="1"/>
    <col min="2315" max="2315" width="12.26953125" style="11" customWidth="1"/>
    <col min="2316" max="2316" width="10.7265625" style="11" customWidth="1"/>
    <col min="2317" max="2317" width="8.7265625" style="11" customWidth="1"/>
    <col min="2318" max="2318" width="5.7265625" style="11" customWidth="1"/>
    <col min="2319" max="2319" width="6" style="11" customWidth="1"/>
    <col min="2320" max="2320" width="8.7265625" style="11" customWidth="1"/>
    <col min="2321" max="2322" width="11.26953125" style="11" customWidth="1"/>
    <col min="2323" max="2324" width="11.54296875" style="11" customWidth="1"/>
    <col min="2325" max="2325" width="10" style="11" customWidth="1"/>
    <col min="2326" max="2326" width="9.54296875" style="11"/>
    <col min="2327" max="2328" width="8.7265625" style="11" customWidth="1"/>
    <col min="2329" max="2332" width="9.26953125" style="11" customWidth="1"/>
    <col min="2333" max="2334" width="9.453125" style="11" customWidth="1"/>
    <col min="2335" max="2335" width="9.26953125" style="11" customWidth="1"/>
    <col min="2336" max="2336" width="7" style="11" customWidth="1"/>
    <col min="2337" max="2353" width="8.7265625" style="11" customWidth="1"/>
    <col min="2354" max="2355" width="9.54296875" style="11"/>
    <col min="2356" max="2360" width="13" style="11" customWidth="1"/>
    <col min="2361" max="2560" width="9.54296875" style="11"/>
    <col min="2561" max="2561" width="10.453125" style="11" customWidth="1"/>
    <col min="2562" max="2562" width="12.54296875" style="11" customWidth="1"/>
    <col min="2563" max="2563" width="11.453125" style="11" customWidth="1"/>
    <col min="2564" max="2565" width="9.26953125" style="11" customWidth="1"/>
    <col min="2566" max="2566" width="11.54296875" style="11" customWidth="1"/>
    <col min="2567" max="2567" width="13.26953125" style="11" customWidth="1"/>
    <col min="2568" max="2568" width="10.7265625" style="11" customWidth="1"/>
    <col min="2569" max="2569" width="11.54296875" style="11" customWidth="1"/>
    <col min="2570" max="2570" width="8" style="11" customWidth="1"/>
    <col min="2571" max="2571" width="12.26953125" style="11" customWidth="1"/>
    <col min="2572" max="2572" width="10.7265625" style="11" customWidth="1"/>
    <col min="2573" max="2573" width="8.7265625" style="11" customWidth="1"/>
    <col min="2574" max="2574" width="5.7265625" style="11" customWidth="1"/>
    <col min="2575" max="2575" width="6" style="11" customWidth="1"/>
    <col min="2576" max="2576" width="8.7265625" style="11" customWidth="1"/>
    <col min="2577" max="2578" width="11.26953125" style="11" customWidth="1"/>
    <col min="2579" max="2580" width="11.54296875" style="11" customWidth="1"/>
    <col min="2581" max="2581" width="10" style="11" customWidth="1"/>
    <col min="2582" max="2582" width="9.54296875" style="11"/>
    <col min="2583" max="2584" width="8.7265625" style="11" customWidth="1"/>
    <col min="2585" max="2588" width="9.26953125" style="11" customWidth="1"/>
    <col min="2589" max="2590" width="9.453125" style="11" customWidth="1"/>
    <col min="2591" max="2591" width="9.26953125" style="11" customWidth="1"/>
    <col min="2592" max="2592" width="7" style="11" customWidth="1"/>
    <col min="2593" max="2609" width="8.7265625" style="11" customWidth="1"/>
    <col min="2610" max="2611" width="9.54296875" style="11"/>
    <col min="2612" max="2616" width="13" style="11" customWidth="1"/>
    <col min="2617" max="2816" width="9.54296875" style="11"/>
    <col min="2817" max="2817" width="10.453125" style="11" customWidth="1"/>
    <col min="2818" max="2818" width="12.54296875" style="11" customWidth="1"/>
    <col min="2819" max="2819" width="11.453125" style="11" customWidth="1"/>
    <col min="2820" max="2821" width="9.26953125" style="11" customWidth="1"/>
    <col min="2822" max="2822" width="11.54296875" style="11" customWidth="1"/>
    <col min="2823" max="2823" width="13.26953125" style="11" customWidth="1"/>
    <col min="2824" max="2824" width="10.7265625" style="11" customWidth="1"/>
    <col min="2825" max="2825" width="11.54296875" style="11" customWidth="1"/>
    <col min="2826" max="2826" width="8" style="11" customWidth="1"/>
    <col min="2827" max="2827" width="12.26953125" style="11" customWidth="1"/>
    <col min="2828" max="2828" width="10.7265625" style="11" customWidth="1"/>
    <col min="2829" max="2829" width="8.7265625" style="11" customWidth="1"/>
    <col min="2830" max="2830" width="5.7265625" style="11" customWidth="1"/>
    <col min="2831" max="2831" width="6" style="11" customWidth="1"/>
    <col min="2832" max="2832" width="8.7265625" style="11" customWidth="1"/>
    <col min="2833" max="2834" width="11.26953125" style="11" customWidth="1"/>
    <col min="2835" max="2836" width="11.54296875" style="11" customWidth="1"/>
    <col min="2837" max="2837" width="10" style="11" customWidth="1"/>
    <col min="2838" max="2838" width="9.54296875" style="11"/>
    <col min="2839" max="2840" width="8.7265625" style="11" customWidth="1"/>
    <col min="2841" max="2844" width="9.26953125" style="11" customWidth="1"/>
    <col min="2845" max="2846" width="9.453125" style="11" customWidth="1"/>
    <col min="2847" max="2847" width="9.26953125" style="11" customWidth="1"/>
    <col min="2848" max="2848" width="7" style="11" customWidth="1"/>
    <col min="2849" max="2865" width="8.7265625" style="11" customWidth="1"/>
    <col min="2866" max="2867" width="9.54296875" style="11"/>
    <col min="2868" max="2872" width="13" style="11" customWidth="1"/>
    <col min="2873" max="3072" width="9.54296875" style="11"/>
    <col min="3073" max="3073" width="10.453125" style="11" customWidth="1"/>
    <col min="3074" max="3074" width="12.54296875" style="11" customWidth="1"/>
    <col min="3075" max="3075" width="11.453125" style="11" customWidth="1"/>
    <col min="3076" max="3077" width="9.26953125" style="11" customWidth="1"/>
    <col min="3078" max="3078" width="11.54296875" style="11" customWidth="1"/>
    <col min="3079" max="3079" width="13.26953125" style="11" customWidth="1"/>
    <col min="3080" max="3080" width="10.7265625" style="11" customWidth="1"/>
    <col min="3081" max="3081" width="11.54296875" style="11" customWidth="1"/>
    <col min="3082" max="3082" width="8" style="11" customWidth="1"/>
    <col min="3083" max="3083" width="12.26953125" style="11" customWidth="1"/>
    <col min="3084" max="3084" width="10.7265625" style="11" customWidth="1"/>
    <col min="3085" max="3085" width="8.7265625" style="11" customWidth="1"/>
    <col min="3086" max="3086" width="5.7265625" style="11" customWidth="1"/>
    <col min="3087" max="3087" width="6" style="11" customWidth="1"/>
    <col min="3088" max="3088" width="8.7265625" style="11" customWidth="1"/>
    <col min="3089" max="3090" width="11.26953125" style="11" customWidth="1"/>
    <col min="3091" max="3092" width="11.54296875" style="11" customWidth="1"/>
    <col min="3093" max="3093" width="10" style="11" customWidth="1"/>
    <col min="3094" max="3094" width="9.54296875" style="11"/>
    <col min="3095" max="3096" width="8.7265625" style="11" customWidth="1"/>
    <col min="3097" max="3100" width="9.26953125" style="11" customWidth="1"/>
    <col min="3101" max="3102" width="9.453125" style="11" customWidth="1"/>
    <col min="3103" max="3103" width="9.26953125" style="11" customWidth="1"/>
    <col min="3104" max="3104" width="7" style="11" customWidth="1"/>
    <col min="3105" max="3121" width="8.7265625" style="11" customWidth="1"/>
    <col min="3122" max="3123" width="9.54296875" style="11"/>
    <col min="3124" max="3128" width="13" style="11" customWidth="1"/>
    <col min="3129" max="3328" width="9.54296875" style="11"/>
    <col min="3329" max="3329" width="10.453125" style="11" customWidth="1"/>
    <col min="3330" max="3330" width="12.54296875" style="11" customWidth="1"/>
    <col min="3331" max="3331" width="11.453125" style="11" customWidth="1"/>
    <col min="3332" max="3333" width="9.26953125" style="11" customWidth="1"/>
    <col min="3334" max="3334" width="11.54296875" style="11" customWidth="1"/>
    <col min="3335" max="3335" width="13.26953125" style="11" customWidth="1"/>
    <col min="3336" max="3336" width="10.7265625" style="11" customWidth="1"/>
    <col min="3337" max="3337" width="11.54296875" style="11" customWidth="1"/>
    <col min="3338" max="3338" width="8" style="11" customWidth="1"/>
    <col min="3339" max="3339" width="12.26953125" style="11" customWidth="1"/>
    <col min="3340" max="3340" width="10.7265625" style="11" customWidth="1"/>
    <col min="3341" max="3341" width="8.7265625" style="11" customWidth="1"/>
    <col min="3342" max="3342" width="5.7265625" style="11" customWidth="1"/>
    <col min="3343" max="3343" width="6" style="11" customWidth="1"/>
    <col min="3344" max="3344" width="8.7265625" style="11" customWidth="1"/>
    <col min="3345" max="3346" width="11.26953125" style="11" customWidth="1"/>
    <col min="3347" max="3348" width="11.54296875" style="11" customWidth="1"/>
    <col min="3349" max="3349" width="10" style="11" customWidth="1"/>
    <col min="3350" max="3350" width="9.54296875" style="11"/>
    <col min="3351" max="3352" width="8.7265625" style="11" customWidth="1"/>
    <col min="3353" max="3356" width="9.26953125" style="11" customWidth="1"/>
    <col min="3357" max="3358" width="9.453125" style="11" customWidth="1"/>
    <col min="3359" max="3359" width="9.26953125" style="11" customWidth="1"/>
    <col min="3360" max="3360" width="7" style="11" customWidth="1"/>
    <col min="3361" max="3377" width="8.7265625" style="11" customWidth="1"/>
    <col min="3378" max="3379" width="9.54296875" style="11"/>
    <col min="3380" max="3384" width="13" style="11" customWidth="1"/>
    <col min="3385" max="3584" width="9.54296875" style="11"/>
    <col min="3585" max="3585" width="10.453125" style="11" customWidth="1"/>
    <col min="3586" max="3586" width="12.54296875" style="11" customWidth="1"/>
    <col min="3587" max="3587" width="11.453125" style="11" customWidth="1"/>
    <col min="3588" max="3589" width="9.26953125" style="11" customWidth="1"/>
    <col min="3590" max="3590" width="11.54296875" style="11" customWidth="1"/>
    <col min="3591" max="3591" width="13.26953125" style="11" customWidth="1"/>
    <col min="3592" max="3592" width="10.7265625" style="11" customWidth="1"/>
    <col min="3593" max="3593" width="11.54296875" style="11" customWidth="1"/>
    <col min="3594" max="3594" width="8" style="11" customWidth="1"/>
    <col min="3595" max="3595" width="12.26953125" style="11" customWidth="1"/>
    <col min="3596" max="3596" width="10.7265625" style="11" customWidth="1"/>
    <col min="3597" max="3597" width="8.7265625" style="11" customWidth="1"/>
    <col min="3598" max="3598" width="5.7265625" style="11" customWidth="1"/>
    <col min="3599" max="3599" width="6" style="11" customWidth="1"/>
    <col min="3600" max="3600" width="8.7265625" style="11" customWidth="1"/>
    <col min="3601" max="3602" width="11.26953125" style="11" customWidth="1"/>
    <col min="3603" max="3604" width="11.54296875" style="11" customWidth="1"/>
    <col min="3605" max="3605" width="10" style="11" customWidth="1"/>
    <col min="3606" max="3606" width="9.54296875" style="11"/>
    <col min="3607" max="3608" width="8.7265625" style="11" customWidth="1"/>
    <col min="3609" max="3612" width="9.26953125" style="11" customWidth="1"/>
    <col min="3613" max="3614" width="9.453125" style="11" customWidth="1"/>
    <col min="3615" max="3615" width="9.26953125" style="11" customWidth="1"/>
    <col min="3616" max="3616" width="7" style="11" customWidth="1"/>
    <col min="3617" max="3633" width="8.7265625" style="11" customWidth="1"/>
    <col min="3634" max="3635" width="9.54296875" style="11"/>
    <col min="3636" max="3640" width="13" style="11" customWidth="1"/>
    <col min="3641" max="3840" width="9.54296875" style="11"/>
    <col min="3841" max="3841" width="10.453125" style="11" customWidth="1"/>
    <col min="3842" max="3842" width="12.54296875" style="11" customWidth="1"/>
    <col min="3843" max="3843" width="11.453125" style="11" customWidth="1"/>
    <col min="3844" max="3845" width="9.26953125" style="11" customWidth="1"/>
    <col min="3846" max="3846" width="11.54296875" style="11" customWidth="1"/>
    <col min="3847" max="3847" width="13.26953125" style="11" customWidth="1"/>
    <col min="3848" max="3848" width="10.7265625" style="11" customWidth="1"/>
    <col min="3849" max="3849" width="11.54296875" style="11" customWidth="1"/>
    <col min="3850" max="3850" width="8" style="11" customWidth="1"/>
    <col min="3851" max="3851" width="12.26953125" style="11" customWidth="1"/>
    <col min="3852" max="3852" width="10.7265625" style="11" customWidth="1"/>
    <col min="3853" max="3853" width="8.7265625" style="11" customWidth="1"/>
    <col min="3854" max="3854" width="5.7265625" style="11" customWidth="1"/>
    <col min="3855" max="3855" width="6" style="11" customWidth="1"/>
    <col min="3856" max="3856" width="8.7265625" style="11" customWidth="1"/>
    <col min="3857" max="3858" width="11.26953125" style="11" customWidth="1"/>
    <col min="3859" max="3860" width="11.54296875" style="11" customWidth="1"/>
    <col min="3861" max="3861" width="10" style="11" customWidth="1"/>
    <col min="3862" max="3862" width="9.54296875" style="11"/>
    <col min="3863" max="3864" width="8.7265625" style="11" customWidth="1"/>
    <col min="3865" max="3868" width="9.26953125" style="11" customWidth="1"/>
    <col min="3869" max="3870" width="9.453125" style="11" customWidth="1"/>
    <col min="3871" max="3871" width="9.26953125" style="11" customWidth="1"/>
    <col min="3872" max="3872" width="7" style="11" customWidth="1"/>
    <col min="3873" max="3889" width="8.7265625" style="11" customWidth="1"/>
    <col min="3890" max="3891" width="9.54296875" style="11"/>
    <col min="3892" max="3896" width="13" style="11" customWidth="1"/>
    <col min="3897" max="4096" width="9.54296875" style="11"/>
    <col min="4097" max="4097" width="10.453125" style="11" customWidth="1"/>
    <col min="4098" max="4098" width="12.54296875" style="11" customWidth="1"/>
    <col min="4099" max="4099" width="11.453125" style="11" customWidth="1"/>
    <col min="4100" max="4101" width="9.26953125" style="11" customWidth="1"/>
    <col min="4102" max="4102" width="11.54296875" style="11" customWidth="1"/>
    <col min="4103" max="4103" width="13.26953125" style="11" customWidth="1"/>
    <col min="4104" max="4104" width="10.7265625" style="11" customWidth="1"/>
    <col min="4105" max="4105" width="11.54296875" style="11" customWidth="1"/>
    <col min="4106" max="4106" width="8" style="11" customWidth="1"/>
    <col min="4107" max="4107" width="12.26953125" style="11" customWidth="1"/>
    <col min="4108" max="4108" width="10.7265625" style="11" customWidth="1"/>
    <col min="4109" max="4109" width="8.7265625" style="11" customWidth="1"/>
    <col min="4110" max="4110" width="5.7265625" style="11" customWidth="1"/>
    <col min="4111" max="4111" width="6" style="11" customWidth="1"/>
    <col min="4112" max="4112" width="8.7265625" style="11" customWidth="1"/>
    <col min="4113" max="4114" width="11.26953125" style="11" customWidth="1"/>
    <col min="4115" max="4116" width="11.54296875" style="11" customWidth="1"/>
    <col min="4117" max="4117" width="10" style="11" customWidth="1"/>
    <col min="4118" max="4118" width="9.54296875" style="11"/>
    <col min="4119" max="4120" width="8.7265625" style="11" customWidth="1"/>
    <col min="4121" max="4124" width="9.26953125" style="11" customWidth="1"/>
    <col min="4125" max="4126" width="9.453125" style="11" customWidth="1"/>
    <col min="4127" max="4127" width="9.26953125" style="11" customWidth="1"/>
    <col min="4128" max="4128" width="7" style="11" customWidth="1"/>
    <col min="4129" max="4145" width="8.7265625" style="11" customWidth="1"/>
    <col min="4146" max="4147" width="9.54296875" style="11"/>
    <col min="4148" max="4152" width="13" style="11" customWidth="1"/>
    <col min="4153" max="4352" width="9.54296875" style="11"/>
    <col min="4353" max="4353" width="10.453125" style="11" customWidth="1"/>
    <col min="4354" max="4354" width="12.54296875" style="11" customWidth="1"/>
    <col min="4355" max="4355" width="11.453125" style="11" customWidth="1"/>
    <col min="4356" max="4357" width="9.26953125" style="11" customWidth="1"/>
    <col min="4358" max="4358" width="11.54296875" style="11" customWidth="1"/>
    <col min="4359" max="4359" width="13.26953125" style="11" customWidth="1"/>
    <col min="4360" max="4360" width="10.7265625" style="11" customWidth="1"/>
    <col min="4361" max="4361" width="11.54296875" style="11" customWidth="1"/>
    <col min="4362" max="4362" width="8" style="11" customWidth="1"/>
    <col min="4363" max="4363" width="12.26953125" style="11" customWidth="1"/>
    <col min="4364" max="4364" width="10.7265625" style="11" customWidth="1"/>
    <col min="4365" max="4365" width="8.7265625" style="11" customWidth="1"/>
    <col min="4366" max="4366" width="5.7265625" style="11" customWidth="1"/>
    <col min="4367" max="4367" width="6" style="11" customWidth="1"/>
    <col min="4368" max="4368" width="8.7265625" style="11" customWidth="1"/>
    <col min="4369" max="4370" width="11.26953125" style="11" customWidth="1"/>
    <col min="4371" max="4372" width="11.54296875" style="11" customWidth="1"/>
    <col min="4373" max="4373" width="10" style="11" customWidth="1"/>
    <col min="4374" max="4374" width="9.54296875" style="11"/>
    <col min="4375" max="4376" width="8.7265625" style="11" customWidth="1"/>
    <col min="4377" max="4380" width="9.26953125" style="11" customWidth="1"/>
    <col min="4381" max="4382" width="9.453125" style="11" customWidth="1"/>
    <col min="4383" max="4383" width="9.26953125" style="11" customWidth="1"/>
    <col min="4384" max="4384" width="7" style="11" customWidth="1"/>
    <col min="4385" max="4401" width="8.7265625" style="11" customWidth="1"/>
    <col min="4402" max="4403" width="9.54296875" style="11"/>
    <col min="4404" max="4408" width="13" style="11" customWidth="1"/>
    <col min="4409" max="4608" width="9.54296875" style="11"/>
    <col min="4609" max="4609" width="10.453125" style="11" customWidth="1"/>
    <col min="4610" max="4610" width="12.54296875" style="11" customWidth="1"/>
    <col min="4611" max="4611" width="11.453125" style="11" customWidth="1"/>
    <col min="4612" max="4613" width="9.26953125" style="11" customWidth="1"/>
    <col min="4614" max="4614" width="11.54296875" style="11" customWidth="1"/>
    <col min="4615" max="4615" width="13.26953125" style="11" customWidth="1"/>
    <col min="4616" max="4616" width="10.7265625" style="11" customWidth="1"/>
    <col min="4617" max="4617" width="11.54296875" style="11" customWidth="1"/>
    <col min="4618" max="4618" width="8" style="11" customWidth="1"/>
    <col min="4619" max="4619" width="12.26953125" style="11" customWidth="1"/>
    <col min="4620" max="4620" width="10.7265625" style="11" customWidth="1"/>
    <col min="4621" max="4621" width="8.7265625" style="11" customWidth="1"/>
    <col min="4622" max="4622" width="5.7265625" style="11" customWidth="1"/>
    <col min="4623" max="4623" width="6" style="11" customWidth="1"/>
    <col min="4624" max="4624" width="8.7265625" style="11" customWidth="1"/>
    <col min="4625" max="4626" width="11.26953125" style="11" customWidth="1"/>
    <col min="4627" max="4628" width="11.54296875" style="11" customWidth="1"/>
    <col min="4629" max="4629" width="10" style="11" customWidth="1"/>
    <col min="4630" max="4630" width="9.54296875" style="11"/>
    <col min="4631" max="4632" width="8.7265625" style="11" customWidth="1"/>
    <col min="4633" max="4636" width="9.26953125" style="11" customWidth="1"/>
    <col min="4637" max="4638" width="9.453125" style="11" customWidth="1"/>
    <col min="4639" max="4639" width="9.26953125" style="11" customWidth="1"/>
    <col min="4640" max="4640" width="7" style="11" customWidth="1"/>
    <col min="4641" max="4657" width="8.7265625" style="11" customWidth="1"/>
    <col min="4658" max="4659" width="9.54296875" style="11"/>
    <col min="4660" max="4664" width="13" style="11" customWidth="1"/>
    <col min="4665" max="4864" width="9.54296875" style="11"/>
    <col min="4865" max="4865" width="10.453125" style="11" customWidth="1"/>
    <col min="4866" max="4866" width="12.54296875" style="11" customWidth="1"/>
    <col min="4867" max="4867" width="11.453125" style="11" customWidth="1"/>
    <col min="4868" max="4869" width="9.26953125" style="11" customWidth="1"/>
    <col min="4870" max="4870" width="11.54296875" style="11" customWidth="1"/>
    <col min="4871" max="4871" width="13.26953125" style="11" customWidth="1"/>
    <col min="4872" max="4872" width="10.7265625" style="11" customWidth="1"/>
    <col min="4873" max="4873" width="11.54296875" style="11" customWidth="1"/>
    <col min="4874" max="4874" width="8" style="11" customWidth="1"/>
    <col min="4875" max="4875" width="12.26953125" style="11" customWidth="1"/>
    <col min="4876" max="4876" width="10.7265625" style="11" customWidth="1"/>
    <col min="4877" max="4877" width="8.7265625" style="11" customWidth="1"/>
    <col min="4878" max="4878" width="5.7265625" style="11" customWidth="1"/>
    <col min="4879" max="4879" width="6" style="11" customWidth="1"/>
    <col min="4880" max="4880" width="8.7265625" style="11" customWidth="1"/>
    <col min="4881" max="4882" width="11.26953125" style="11" customWidth="1"/>
    <col min="4883" max="4884" width="11.54296875" style="11" customWidth="1"/>
    <col min="4885" max="4885" width="10" style="11" customWidth="1"/>
    <col min="4886" max="4886" width="9.54296875" style="11"/>
    <col min="4887" max="4888" width="8.7265625" style="11" customWidth="1"/>
    <col min="4889" max="4892" width="9.26953125" style="11" customWidth="1"/>
    <col min="4893" max="4894" width="9.453125" style="11" customWidth="1"/>
    <col min="4895" max="4895" width="9.26953125" style="11" customWidth="1"/>
    <col min="4896" max="4896" width="7" style="11" customWidth="1"/>
    <col min="4897" max="4913" width="8.7265625" style="11" customWidth="1"/>
    <col min="4914" max="4915" width="9.54296875" style="11"/>
    <col min="4916" max="4920" width="13" style="11" customWidth="1"/>
    <col min="4921" max="5120" width="9.54296875" style="11"/>
    <col min="5121" max="5121" width="10.453125" style="11" customWidth="1"/>
    <col min="5122" max="5122" width="12.54296875" style="11" customWidth="1"/>
    <col min="5123" max="5123" width="11.453125" style="11" customWidth="1"/>
    <col min="5124" max="5125" width="9.26953125" style="11" customWidth="1"/>
    <col min="5126" max="5126" width="11.54296875" style="11" customWidth="1"/>
    <col min="5127" max="5127" width="13.26953125" style="11" customWidth="1"/>
    <col min="5128" max="5128" width="10.7265625" style="11" customWidth="1"/>
    <col min="5129" max="5129" width="11.54296875" style="11" customWidth="1"/>
    <col min="5130" max="5130" width="8" style="11" customWidth="1"/>
    <col min="5131" max="5131" width="12.26953125" style="11" customWidth="1"/>
    <col min="5132" max="5132" width="10.7265625" style="11" customWidth="1"/>
    <col min="5133" max="5133" width="8.7265625" style="11" customWidth="1"/>
    <col min="5134" max="5134" width="5.7265625" style="11" customWidth="1"/>
    <col min="5135" max="5135" width="6" style="11" customWidth="1"/>
    <col min="5136" max="5136" width="8.7265625" style="11" customWidth="1"/>
    <col min="5137" max="5138" width="11.26953125" style="11" customWidth="1"/>
    <col min="5139" max="5140" width="11.54296875" style="11" customWidth="1"/>
    <col min="5141" max="5141" width="10" style="11" customWidth="1"/>
    <col min="5142" max="5142" width="9.54296875" style="11"/>
    <col min="5143" max="5144" width="8.7265625" style="11" customWidth="1"/>
    <col min="5145" max="5148" width="9.26953125" style="11" customWidth="1"/>
    <col min="5149" max="5150" width="9.453125" style="11" customWidth="1"/>
    <col min="5151" max="5151" width="9.26953125" style="11" customWidth="1"/>
    <col min="5152" max="5152" width="7" style="11" customWidth="1"/>
    <col min="5153" max="5169" width="8.7265625" style="11" customWidth="1"/>
    <col min="5170" max="5171" width="9.54296875" style="11"/>
    <col min="5172" max="5176" width="13" style="11" customWidth="1"/>
    <col min="5177" max="5376" width="9.54296875" style="11"/>
    <col min="5377" max="5377" width="10.453125" style="11" customWidth="1"/>
    <col min="5378" max="5378" width="12.54296875" style="11" customWidth="1"/>
    <col min="5379" max="5379" width="11.453125" style="11" customWidth="1"/>
    <col min="5380" max="5381" width="9.26953125" style="11" customWidth="1"/>
    <col min="5382" max="5382" width="11.54296875" style="11" customWidth="1"/>
    <col min="5383" max="5383" width="13.26953125" style="11" customWidth="1"/>
    <col min="5384" max="5384" width="10.7265625" style="11" customWidth="1"/>
    <col min="5385" max="5385" width="11.54296875" style="11" customWidth="1"/>
    <col min="5386" max="5386" width="8" style="11" customWidth="1"/>
    <col min="5387" max="5387" width="12.26953125" style="11" customWidth="1"/>
    <col min="5388" max="5388" width="10.7265625" style="11" customWidth="1"/>
    <col min="5389" max="5389" width="8.7265625" style="11" customWidth="1"/>
    <col min="5390" max="5390" width="5.7265625" style="11" customWidth="1"/>
    <col min="5391" max="5391" width="6" style="11" customWidth="1"/>
    <col min="5392" max="5392" width="8.7265625" style="11" customWidth="1"/>
    <col min="5393" max="5394" width="11.26953125" style="11" customWidth="1"/>
    <col min="5395" max="5396" width="11.54296875" style="11" customWidth="1"/>
    <col min="5397" max="5397" width="10" style="11" customWidth="1"/>
    <col min="5398" max="5398" width="9.54296875" style="11"/>
    <col min="5399" max="5400" width="8.7265625" style="11" customWidth="1"/>
    <col min="5401" max="5404" width="9.26953125" style="11" customWidth="1"/>
    <col min="5405" max="5406" width="9.453125" style="11" customWidth="1"/>
    <col min="5407" max="5407" width="9.26953125" style="11" customWidth="1"/>
    <col min="5408" max="5408" width="7" style="11" customWidth="1"/>
    <col min="5409" max="5425" width="8.7265625" style="11" customWidth="1"/>
    <col min="5426" max="5427" width="9.54296875" style="11"/>
    <col min="5428" max="5432" width="13" style="11" customWidth="1"/>
    <col min="5433" max="5632" width="9.54296875" style="11"/>
    <col min="5633" max="5633" width="10.453125" style="11" customWidth="1"/>
    <col min="5634" max="5634" width="12.54296875" style="11" customWidth="1"/>
    <col min="5635" max="5635" width="11.453125" style="11" customWidth="1"/>
    <col min="5636" max="5637" width="9.26953125" style="11" customWidth="1"/>
    <col min="5638" max="5638" width="11.54296875" style="11" customWidth="1"/>
    <col min="5639" max="5639" width="13.26953125" style="11" customWidth="1"/>
    <col min="5640" max="5640" width="10.7265625" style="11" customWidth="1"/>
    <col min="5641" max="5641" width="11.54296875" style="11" customWidth="1"/>
    <col min="5642" max="5642" width="8" style="11" customWidth="1"/>
    <col min="5643" max="5643" width="12.26953125" style="11" customWidth="1"/>
    <col min="5644" max="5644" width="10.7265625" style="11" customWidth="1"/>
    <col min="5645" max="5645" width="8.7265625" style="11" customWidth="1"/>
    <col min="5646" max="5646" width="5.7265625" style="11" customWidth="1"/>
    <col min="5647" max="5647" width="6" style="11" customWidth="1"/>
    <col min="5648" max="5648" width="8.7265625" style="11" customWidth="1"/>
    <col min="5649" max="5650" width="11.26953125" style="11" customWidth="1"/>
    <col min="5651" max="5652" width="11.54296875" style="11" customWidth="1"/>
    <col min="5653" max="5653" width="10" style="11" customWidth="1"/>
    <col min="5654" max="5654" width="9.54296875" style="11"/>
    <col min="5655" max="5656" width="8.7265625" style="11" customWidth="1"/>
    <col min="5657" max="5660" width="9.26953125" style="11" customWidth="1"/>
    <col min="5661" max="5662" width="9.453125" style="11" customWidth="1"/>
    <col min="5663" max="5663" width="9.26953125" style="11" customWidth="1"/>
    <col min="5664" max="5664" width="7" style="11" customWidth="1"/>
    <col min="5665" max="5681" width="8.7265625" style="11" customWidth="1"/>
    <col min="5682" max="5683" width="9.54296875" style="11"/>
    <col min="5684" max="5688" width="13" style="11" customWidth="1"/>
    <col min="5689" max="5888" width="9.54296875" style="11"/>
    <col min="5889" max="5889" width="10.453125" style="11" customWidth="1"/>
    <col min="5890" max="5890" width="12.54296875" style="11" customWidth="1"/>
    <col min="5891" max="5891" width="11.453125" style="11" customWidth="1"/>
    <col min="5892" max="5893" width="9.26953125" style="11" customWidth="1"/>
    <col min="5894" max="5894" width="11.54296875" style="11" customWidth="1"/>
    <col min="5895" max="5895" width="13.26953125" style="11" customWidth="1"/>
    <col min="5896" max="5896" width="10.7265625" style="11" customWidth="1"/>
    <col min="5897" max="5897" width="11.54296875" style="11" customWidth="1"/>
    <col min="5898" max="5898" width="8" style="11" customWidth="1"/>
    <col min="5899" max="5899" width="12.26953125" style="11" customWidth="1"/>
    <col min="5900" max="5900" width="10.7265625" style="11" customWidth="1"/>
    <col min="5901" max="5901" width="8.7265625" style="11" customWidth="1"/>
    <col min="5902" max="5902" width="5.7265625" style="11" customWidth="1"/>
    <col min="5903" max="5903" width="6" style="11" customWidth="1"/>
    <col min="5904" max="5904" width="8.7265625" style="11" customWidth="1"/>
    <col min="5905" max="5906" width="11.26953125" style="11" customWidth="1"/>
    <col min="5907" max="5908" width="11.54296875" style="11" customWidth="1"/>
    <col min="5909" max="5909" width="10" style="11" customWidth="1"/>
    <col min="5910" max="5910" width="9.54296875" style="11"/>
    <col min="5911" max="5912" width="8.7265625" style="11" customWidth="1"/>
    <col min="5913" max="5916" width="9.26953125" style="11" customWidth="1"/>
    <col min="5917" max="5918" width="9.453125" style="11" customWidth="1"/>
    <col min="5919" max="5919" width="9.26953125" style="11" customWidth="1"/>
    <col min="5920" max="5920" width="7" style="11" customWidth="1"/>
    <col min="5921" max="5937" width="8.7265625" style="11" customWidth="1"/>
    <col min="5938" max="5939" width="9.54296875" style="11"/>
    <col min="5940" max="5944" width="13" style="11" customWidth="1"/>
    <col min="5945" max="6144" width="9.54296875" style="11"/>
    <col min="6145" max="6145" width="10.453125" style="11" customWidth="1"/>
    <col min="6146" max="6146" width="12.54296875" style="11" customWidth="1"/>
    <col min="6147" max="6147" width="11.453125" style="11" customWidth="1"/>
    <col min="6148" max="6149" width="9.26953125" style="11" customWidth="1"/>
    <col min="6150" max="6150" width="11.54296875" style="11" customWidth="1"/>
    <col min="6151" max="6151" width="13.26953125" style="11" customWidth="1"/>
    <col min="6152" max="6152" width="10.7265625" style="11" customWidth="1"/>
    <col min="6153" max="6153" width="11.54296875" style="11" customWidth="1"/>
    <col min="6154" max="6154" width="8" style="11" customWidth="1"/>
    <col min="6155" max="6155" width="12.26953125" style="11" customWidth="1"/>
    <col min="6156" max="6156" width="10.7265625" style="11" customWidth="1"/>
    <col min="6157" max="6157" width="8.7265625" style="11" customWidth="1"/>
    <col min="6158" max="6158" width="5.7265625" style="11" customWidth="1"/>
    <col min="6159" max="6159" width="6" style="11" customWidth="1"/>
    <col min="6160" max="6160" width="8.7265625" style="11" customWidth="1"/>
    <col min="6161" max="6162" width="11.26953125" style="11" customWidth="1"/>
    <col min="6163" max="6164" width="11.54296875" style="11" customWidth="1"/>
    <col min="6165" max="6165" width="10" style="11" customWidth="1"/>
    <col min="6166" max="6166" width="9.54296875" style="11"/>
    <col min="6167" max="6168" width="8.7265625" style="11" customWidth="1"/>
    <col min="6169" max="6172" width="9.26953125" style="11" customWidth="1"/>
    <col min="6173" max="6174" width="9.453125" style="11" customWidth="1"/>
    <col min="6175" max="6175" width="9.26953125" style="11" customWidth="1"/>
    <col min="6176" max="6176" width="7" style="11" customWidth="1"/>
    <col min="6177" max="6193" width="8.7265625" style="11" customWidth="1"/>
    <col min="6194" max="6195" width="9.54296875" style="11"/>
    <col min="6196" max="6200" width="13" style="11" customWidth="1"/>
    <col min="6201" max="6400" width="9.54296875" style="11"/>
    <col min="6401" max="6401" width="10.453125" style="11" customWidth="1"/>
    <col min="6402" max="6402" width="12.54296875" style="11" customWidth="1"/>
    <col min="6403" max="6403" width="11.453125" style="11" customWidth="1"/>
    <col min="6404" max="6405" width="9.26953125" style="11" customWidth="1"/>
    <col min="6406" max="6406" width="11.54296875" style="11" customWidth="1"/>
    <col min="6407" max="6407" width="13.26953125" style="11" customWidth="1"/>
    <col min="6408" max="6408" width="10.7265625" style="11" customWidth="1"/>
    <col min="6409" max="6409" width="11.54296875" style="11" customWidth="1"/>
    <col min="6410" max="6410" width="8" style="11" customWidth="1"/>
    <col min="6411" max="6411" width="12.26953125" style="11" customWidth="1"/>
    <col min="6412" max="6412" width="10.7265625" style="11" customWidth="1"/>
    <col min="6413" max="6413" width="8.7265625" style="11" customWidth="1"/>
    <col min="6414" max="6414" width="5.7265625" style="11" customWidth="1"/>
    <col min="6415" max="6415" width="6" style="11" customWidth="1"/>
    <col min="6416" max="6416" width="8.7265625" style="11" customWidth="1"/>
    <col min="6417" max="6418" width="11.26953125" style="11" customWidth="1"/>
    <col min="6419" max="6420" width="11.54296875" style="11" customWidth="1"/>
    <col min="6421" max="6421" width="10" style="11" customWidth="1"/>
    <col min="6422" max="6422" width="9.54296875" style="11"/>
    <col min="6423" max="6424" width="8.7265625" style="11" customWidth="1"/>
    <col min="6425" max="6428" width="9.26953125" style="11" customWidth="1"/>
    <col min="6429" max="6430" width="9.453125" style="11" customWidth="1"/>
    <col min="6431" max="6431" width="9.26953125" style="11" customWidth="1"/>
    <col min="6432" max="6432" width="7" style="11" customWidth="1"/>
    <col min="6433" max="6449" width="8.7265625" style="11" customWidth="1"/>
    <col min="6450" max="6451" width="9.54296875" style="11"/>
    <col min="6452" max="6456" width="13" style="11" customWidth="1"/>
    <col min="6457" max="6656" width="9.54296875" style="11"/>
    <col min="6657" max="6657" width="10.453125" style="11" customWidth="1"/>
    <col min="6658" max="6658" width="12.54296875" style="11" customWidth="1"/>
    <col min="6659" max="6659" width="11.453125" style="11" customWidth="1"/>
    <col min="6660" max="6661" width="9.26953125" style="11" customWidth="1"/>
    <col min="6662" max="6662" width="11.54296875" style="11" customWidth="1"/>
    <col min="6663" max="6663" width="13.26953125" style="11" customWidth="1"/>
    <col min="6664" max="6664" width="10.7265625" style="11" customWidth="1"/>
    <col min="6665" max="6665" width="11.54296875" style="11" customWidth="1"/>
    <col min="6666" max="6666" width="8" style="11" customWidth="1"/>
    <col min="6667" max="6667" width="12.26953125" style="11" customWidth="1"/>
    <col min="6668" max="6668" width="10.7265625" style="11" customWidth="1"/>
    <col min="6669" max="6669" width="8.7265625" style="11" customWidth="1"/>
    <col min="6670" max="6670" width="5.7265625" style="11" customWidth="1"/>
    <col min="6671" max="6671" width="6" style="11" customWidth="1"/>
    <col min="6672" max="6672" width="8.7265625" style="11" customWidth="1"/>
    <col min="6673" max="6674" width="11.26953125" style="11" customWidth="1"/>
    <col min="6675" max="6676" width="11.54296875" style="11" customWidth="1"/>
    <col min="6677" max="6677" width="10" style="11" customWidth="1"/>
    <col min="6678" max="6678" width="9.54296875" style="11"/>
    <col min="6679" max="6680" width="8.7265625" style="11" customWidth="1"/>
    <col min="6681" max="6684" width="9.26953125" style="11" customWidth="1"/>
    <col min="6685" max="6686" width="9.453125" style="11" customWidth="1"/>
    <col min="6687" max="6687" width="9.26953125" style="11" customWidth="1"/>
    <col min="6688" max="6688" width="7" style="11" customWidth="1"/>
    <col min="6689" max="6705" width="8.7265625" style="11" customWidth="1"/>
    <col min="6706" max="6707" width="9.54296875" style="11"/>
    <col min="6708" max="6712" width="13" style="11" customWidth="1"/>
    <col min="6713" max="6912" width="9.54296875" style="11"/>
    <col min="6913" max="6913" width="10.453125" style="11" customWidth="1"/>
    <col min="6914" max="6914" width="12.54296875" style="11" customWidth="1"/>
    <col min="6915" max="6915" width="11.453125" style="11" customWidth="1"/>
    <col min="6916" max="6917" width="9.26953125" style="11" customWidth="1"/>
    <col min="6918" max="6918" width="11.54296875" style="11" customWidth="1"/>
    <col min="6919" max="6919" width="13.26953125" style="11" customWidth="1"/>
    <col min="6920" max="6920" width="10.7265625" style="11" customWidth="1"/>
    <col min="6921" max="6921" width="11.54296875" style="11" customWidth="1"/>
    <col min="6922" max="6922" width="8" style="11" customWidth="1"/>
    <col min="6923" max="6923" width="12.26953125" style="11" customWidth="1"/>
    <col min="6924" max="6924" width="10.7265625" style="11" customWidth="1"/>
    <col min="6925" max="6925" width="8.7265625" style="11" customWidth="1"/>
    <col min="6926" max="6926" width="5.7265625" style="11" customWidth="1"/>
    <col min="6927" max="6927" width="6" style="11" customWidth="1"/>
    <col min="6928" max="6928" width="8.7265625" style="11" customWidth="1"/>
    <col min="6929" max="6930" width="11.26953125" style="11" customWidth="1"/>
    <col min="6931" max="6932" width="11.54296875" style="11" customWidth="1"/>
    <col min="6933" max="6933" width="10" style="11" customWidth="1"/>
    <col min="6934" max="6934" width="9.54296875" style="11"/>
    <col min="6935" max="6936" width="8.7265625" style="11" customWidth="1"/>
    <col min="6937" max="6940" width="9.26953125" style="11" customWidth="1"/>
    <col min="6941" max="6942" width="9.453125" style="11" customWidth="1"/>
    <col min="6943" max="6943" width="9.26953125" style="11" customWidth="1"/>
    <col min="6944" max="6944" width="7" style="11" customWidth="1"/>
    <col min="6945" max="6961" width="8.7265625" style="11" customWidth="1"/>
    <col min="6962" max="6963" width="9.54296875" style="11"/>
    <col min="6964" max="6968" width="13" style="11" customWidth="1"/>
    <col min="6969" max="7168" width="9.54296875" style="11"/>
    <col min="7169" max="7169" width="10.453125" style="11" customWidth="1"/>
    <col min="7170" max="7170" width="12.54296875" style="11" customWidth="1"/>
    <col min="7171" max="7171" width="11.453125" style="11" customWidth="1"/>
    <col min="7172" max="7173" width="9.26953125" style="11" customWidth="1"/>
    <col min="7174" max="7174" width="11.54296875" style="11" customWidth="1"/>
    <col min="7175" max="7175" width="13.26953125" style="11" customWidth="1"/>
    <col min="7176" max="7176" width="10.7265625" style="11" customWidth="1"/>
    <col min="7177" max="7177" width="11.54296875" style="11" customWidth="1"/>
    <col min="7178" max="7178" width="8" style="11" customWidth="1"/>
    <col min="7179" max="7179" width="12.26953125" style="11" customWidth="1"/>
    <col min="7180" max="7180" width="10.7265625" style="11" customWidth="1"/>
    <col min="7181" max="7181" width="8.7265625" style="11" customWidth="1"/>
    <col min="7182" max="7182" width="5.7265625" style="11" customWidth="1"/>
    <col min="7183" max="7183" width="6" style="11" customWidth="1"/>
    <col min="7184" max="7184" width="8.7265625" style="11" customWidth="1"/>
    <col min="7185" max="7186" width="11.26953125" style="11" customWidth="1"/>
    <col min="7187" max="7188" width="11.54296875" style="11" customWidth="1"/>
    <col min="7189" max="7189" width="10" style="11" customWidth="1"/>
    <col min="7190" max="7190" width="9.54296875" style="11"/>
    <col min="7191" max="7192" width="8.7265625" style="11" customWidth="1"/>
    <col min="7193" max="7196" width="9.26953125" style="11" customWidth="1"/>
    <col min="7197" max="7198" width="9.453125" style="11" customWidth="1"/>
    <col min="7199" max="7199" width="9.26953125" style="11" customWidth="1"/>
    <col min="7200" max="7200" width="7" style="11" customWidth="1"/>
    <col min="7201" max="7217" width="8.7265625" style="11" customWidth="1"/>
    <col min="7218" max="7219" width="9.54296875" style="11"/>
    <col min="7220" max="7224" width="13" style="11" customWidth="1"/>
    <col min="7225" max="7424" width="9.54296875" style="11"/>
    <col min="7425" max="7425" width="10.453125" style="11" customWidth="1"/>
    <col min="7426" max="7426" width="12.54296875" style="11" customWidth="1"/>
    <col min="7427" max="7427" width="11.453125" style="11" customWidth="1"/>
    <col min="7428" max="7429" width="9.26953125" style="11" customWidth="1"/>
    <col min="7430" max="7430" width="11.54296875" style="11" customWidth="1"/>
    <col min="7431" max="7431" width="13.26953125" style="11" customWidth="1"/>
    <col min="7432" max="7432" width="10.7265625" style="11" customWidth="1"/>
    <col min="7433" max="7433" width="11.54296875" style="11" customWidth="1"/>
    <col min="7434" max="7434" width="8" style="11" customWidth="1"/>
    <col min="7435" max="7435" width="12.26953125" style="11" customWidth="1"/>
    <col min="7436" max="7436" width="10.7265625" style="11" customWidth="1"/>
    <col min="7437" max="7437" width="8.7265625" style="11" customWidth="1"/>
    <col min="7438" max="7438" width="5.7265625" style="11" customWidth="1"/>
    <col min="7439" max="7439" width="6" style="11" customWidth="1"/>
    <col min="7440" max="7440" width="8.7265625" style="11" customWidth="1"/>
    <col min="7441" max="7442" width="11.26953125" style="11" customWidth="1"/>
    <col min="7443" max="7444" width="11.54296875" style="11" customWidth="1"/>
    <col min="7445" max="7445" width="10" style="11" customWidth="1"/>
    <col min="7446" max="7446" width="9.54296875" style="11"/>
    <col min="7447" max="7448" width="8.7265625" style="11" customWidth="1"/>
    <col min="7449" max="7452" width="9.26953125" style="11" customWidth="1"/>
    <col min="7453" max="7454" width="9.453125" style="11" customWidth="1"/>
    <col min="7455" max="7455" width="9.26953125" style="11" customWidth="1"/>
    <col min="7456" max="7456" width="7" style="11" customWidth="1"/>
    <col min="7457" max="7473" width="8.7265625" style="11" customWidth="1"/>
    <col min="7474" max="7475" width="9.54296875" style="11"/>
    <col min="7476" max="7480" width="13" style="11" customWidth="1"/>
    <col min="7481" max="7680" width="9.54296875" style="11"/>
    <col min="7681" max="7681" width="10.453125" style="11" customWidth="1"/>
    <col min="7682" max="7682" width="12.54296875" style="11" customWidth="1"/>
    <col min="7683" max="7683" width="11.453125" style="11" customWidth="1"/>
    <col min="7684" max="7685" width="9.26953125" style="11" customWidth="1"/>
    <col min="7686" max="7686" width="11.54296875" style="11" customWidth="1"/>
    <col min="7687" max="7687" width="13.26953125" style="11" customWidth="1"/>
    <col min="7688" max="7688" width="10.7265625" style="11" customWidth="1"/>
    <col min="7689" max="7689" width="11.54296875" style="11" customWidth="1"/>
    <col min="7690" max="7690" width="8" style="11" customWidth="1"/>
    <col min="7691" max="7691" width="12.26953125" style="11" customWidth="1"/>
    <col min="7692" max="7692" width="10.7265625" style="11" customWidth="1"/>
    <col min="7693" max="7693" width="8.7265625" style="11" customWidth="1"/>
    <col min="7694" max="7694" width="5.7265625" style="11" customWidth="1"/>
    <col min="7695" max="7695" width="6" style="11" customWidth="1"/>
    <col min="7696" max="7696" width="8.7265625" style="11" customWidth="1"/>
    <col min="7697" max="7698" width="11.26953125" style="11" customWidth="1"/>
    <col min="7699" max="7700" width="11.54296875" style="11" customWidth="1"/>
    <col min="7701" max="7701" width="10" style="11" customWidth="1"/>
    <col min="7702" max="7702" width="9.54296875" style="11"/>
    <col min="7703" max="7704" width="8.7265625" style="11" customWidth="1"/>
    <col min="7705" max="7708" width="9.26953125" style="11" customWidth="1"/>
    <col min="7709" max="7710" width="9.453125" style="11" customWidth="1"/>
    <col min="7711" max="7711" width="9.26953125" style="11" customWidth="1"/>
    <col min="7712" max="7712" width="7" style="11" customWidth="1"/>
    <col min="7713" max="7729" width="8.7265625" style="11" customWidth="1"/>
    <col min="7730" max="7731" width="9.54296875" style="11"/>
    <col min="7732" max="7736" width="13" style="11" customWidth="1"/>
    <col min="7737" max="7936" width="9.54296875" style="11"/>
    <col min="7937" max="7937" width="10.453125" style="11" customWidth="1"/>
    <col min="7938" max="7938" width="12.54296875" style="11" customWidth="1"/>
    <col min="7939" max="7939" width="11.453125" style="11" customWidth="1"/>
    <col min="7940" max="7941" width="9.26953125" style="11" customWidth="1"/>
    <col min="7942" max="7942" width="11.54296875" style="11" customWidth="1"/>
    <col min="7943" max="7943" width="13.26953125" style="11" customWidth="1"/>
    <col min="7944" max="7944" width="10.7265625" style="11" customWidth="1"/>
    <col min="7945" max="7945" width="11.54296875" style="11" customWidth="1"/>
    <col min="7946" max="7946" width="8" style="11" customWidth="1"/>
    <col min="7947" max="7947" width="12.26953125" style="11" customWidth="1"/>
    <col min="7948" max="7948" width="10.7265625" style="11" customWidth="1"/>
    <col min="7949" max="7949" width="8.7265625" style="11" customWidth="1"/>
    <col min="7950" max="7950" width="5.7265625" style="11" customWidth="1"/>
    <col min="7951" max="7951" width="6" style="11" customWidth="1"/>
    <col min="7952" max="7952" width="8.7265625" style="11" customWidth="1"/>
    <col min="7953" max="7954" width="11.26953125" style="11" customWidth="1"/>
    <col min="7955" max="7956" width="11.54296875" style="11" customWidth="1"/>
    <col min="7957" max="7957" width="10" style="11" customWidth="1"/>
    <col min="7958" max="7958" width="9.54296875" style="11"/>
    <col min="7959" max="7960" width="8.7265625" style="11" customWidth="1"/>
    <col min="7961" max="7964" width="9.26953125" style="11" customWidth="1"/>
    <col min="7965" max="7966" width="9.453125" style="11" customWidth="1"/>
    <col min="7967" max="7967" width="9.26953125" style="11" customWidth="1"/>
    <col min="7968" max="7968" width="7" style="11" customWidth="1"/>
    <col min="7969" max="7985" width="8.7265625" style="11" customWidth="1"/>
    <col min="7986" max="7987" width="9.54296875" style="11"/>
    <col min="7988" max="7992" width="13" style="11" customWidth="1"/>
    <col min="7993" max="8192" width="9.54296875" style="11"/>
    <col min="8193" max="8193" width="10.453125" style="11" customWidth="1"/>
    <col min="8194" max="8194" width="12.54296875" style="11" customWidth="1"/>
    <col min="8195" max="8195" width="11.453125" style="11" customWidth="1"/>
    <col min="8196" max="8197" width="9.26953125" style="11" customWidth="1"/>
    <col min="8198" max="8198" width="11.54296875" style="11" customWidth="1"/>
    <col min="8199" max="8199" width="13.26953125" style="11" customWidth="1"/>
    <col min="8200" max="8200" width="10.7265625" style="11" customWidth="1"/>
    <col min="8201" max="8201" width="11.54296875" style="11" customWidth="1"/>
    <col min="8202" max="8202" width="8" style="11" customWidth="1"/>
    <col min="8203" max="8203" width="12.26953125" style="11" customWidth="1"/>
    <col min="8204" max="8204" width="10.7265625" style="11" customWidth="1"/>
    <col min="8205" max="8205" width="8.7265625" style="11" customWidth="1"/>
    <col min="8206" max="8206" width="5.7265625" style="11" customWidth="1"/>
    <col min="8207" max="8207" width="6" style="11" customWidth="1"/>
    <col min="8208" max="8208" width="8.7265625" style="11" customWidth="1"/>
    <col min="8209" max="8210" width="11.26953125" style="11" customWidth="1"/>
    <col min="8211" max="8212" width="11.54296875" style="11" customWidth="1"/>
    <col min="8213" max="8213" width="10" style="11" customWidth="1"/>
    <col min="8214" max="8214" width="9.54296875" style="11"/>
    <col min="8215" max="8216" width="8.7265625" style="11" customWidth="1"/>
    <col min="8217" max="8220" width="9.26953125" style="11" customWidth="1"/>
    <col min="8221" max="8222" width="9.453125" style="11" customWidth="1"/>
    <col min="8223" max="8223" width="9.26953125" style="11" customWidth="1"/>
    <col min="8224" max="8224" width="7" style="11" customWidth="1"/>
    <col min="8225" max="8241" width="8.7265625" style="11" customWidth="1"/>
    <col min="8242" max="8243" width="9.54296875" style="11"/>
    <col min="8244" max="8248" width="13" style="11" customWidth="1"/>
    <col min="8249" max="8448" width="9.54296875" style="11"/>
    <col min="8449" max="8449" width="10.453125" style="11" customWidth="1"/>
    <col min="8450" max="8450" width="12.54296875" style="11" customWidth="1"/>
    <col min="8451" max="8451" width="11.453125" style="11" customWidth="1"/>
    <col min="8452" max="8453" width="9.26953125" style="11" customWidth="1"/>
    <col min="8454" max="8454" width="11.54296875" style="11" customWidth="1"/>
    <col min="8455" max="8455" width="13.26953125" style="11" customWidth="1"/>
    <col min="8456" max="8456" width="10.7265625" style="11" customWidth="1"/>
    <col min="8457" max="8457" width="11.54296875" style="11" customWidth="1"/>
    <col min="8458" max="8458" width="8" style="11" customWidth="1"/>
    <col min="8459" max="8459" width="12.26953125" style="11" customWidth="1"/>
    <col min="8460" max="8460" width="10.7265625" style="11" customWidth="1"/>
    <col min="8461" max="8461" width="8.7265625" style="11" customWidth="1"/>
    <col min="8462" max="8462" width="5.7265625" style="11" customWidth="1"/>
    <col min="8463" max="8463" width="6" style="11" customWidth="1"/>
    <col min="8464" max="8464" width="8.7265625" style="11" customWidth="1"/>
    <col min="8465" max="8466" width="11.26953125" style="11" customWidth="1"/>
    <col min="8467" max="8468" width="11.54296875" style="11" customWidth="1"/>
    <col min="8469" max="8469" width="10" style="11" customWidth="1"/>
    <col min="8470" max="8470" width="9.54296875" style="11"/>
    <col min="8471" max="8472" width="8.7265625" style="11" customWidth="1"/>
    <col min="8473" max="8476" width="9.26953125" style="11" customWidth="1"/>
    <col min="8477" max="8478" width="9.453125" style="11" customWidth="1"/>
    <col min="8479" max="8479" width="9.26953125" style="11" customWidth="1"/>
    <col min="8480" max="8480" width="7" style="11" customWidth="1"/>
    <col min="8481" max="8497" width="8.7265625" style="11" customWidth="1"/>
    <col min="8498" max="8499" width="9.54296875" style="11"/>
    <col min="8500" max="8504" width="13" style="11" customWidth="1"/>
    <col min="8505" max="8704" width="9.54296875" style="11"/>
    <col min="8705" max="8705" width="10.453125" style="11" customWidth="1"/>
    <col min="8706" max="8706" width="12.54296875" style="11" customWidth="1"/>
    <col min="8707" max="8707" width="11.453125" style="11" customWidth="1"/>
    <col min="8708" max="8709" width="9.26953125" style="11" customWidth="1"/>
    <col min="8710" max="8710" width="11.54296875" style="11" customWidth="1"/>
    <col min="8711" max="8711" width="13.26953125" style="11" customWidth="1"/>
    <col min="8712" max="8712" width="10.7265625" style="11" customWidth="1"/>
    <col min="8713" max="8713" width="11.54296875" style="11" customWidth="1"/>
    <col min="8714" max="8714" width="8" style="11" customWidth="1"/>
    <col min="8715" max="8715" width="12.26953125" style="11" customWidth="1"/>
    <col min="8716" max="8716" width="10.7265625" style="11" customWidth="1"/>
    <col min="8717" max="8717" width="8.7265625" style="11" customWidth="1"/>
    <col min="8718" max="8718" width="5.7265625" style="11" customWidth="1"/>
    <col min="8719" max="8719" width="6" style="11" customWidth="1"/>
    <col min="8720" max="8720" width="8.7265625" style="11" customWidth="1"/>
    <col min="8721" max="8722" width="11.26953125" style="11" customWidth="1"/>
    <col min="8723" max="8724" width="11.54296875" style="11" customWidth="1"/>
    <col min="8725" max="8725" width="10" style="11" customWidth="1"/>
    <col min="8726" max="8726" width="9.54296875" style="11"/>
    <col min="8727" max="8728" width="8.7265625" style="11" customWidth="1"/>
    <col min="8729" max="8732" width="9.26953125" style="11" customWidth="1"/>
    <col min="8733" max="8734" width="9.453125" style="11" customWidth="1"/>
    <col min="8735" max="8735" width="9.26953125" style="11" customWidth="1"/>
    <col min="8736" max="8736" width="7" style="11" customWidth="1"/>
    <col min="8737" max="8753" width="8.7265625" style="11" customWidth="1"/>
    <col min="8754" max="8755" width="9.54296875" style="11"/>
    <col min="8756" max="8760" width="13" style="11" customWidth="1"/>
    <col min="8761" max="8960" width="9.54296875" style="11"/>
    <col min="8961" max="8961" width="10.453125" style="11" customWidth="1"/>
    <col min="8962" max="8962" width="12.54296875" style="11" customWidth="1"/>
    <col min="8963" max="8963" width="11.453125" style="11" customWidth="1"/>
    <col min="8964" max="8965" width="9.26953125" style="11" customWidth="1"/>
    <col min="8966" max="8966" width="11.54296875" style="11" customWidth="1"/>
    <col min="8967" max="8967" width="13.26953125" style="11" customWidth="1"/>
    <col min="8968" max="8968" width="10.7265625" style="11" customWidth="1"/>
    <col min="8969" max="8969" width="11.54296875" style="11" customWidth="1"/>
    <col min="8970" max="8970" width="8" style="11" customWidth="1"/>
    <col min="8971" max="8971" width="12.26953125" style="11" customWidth="1"/>
    <col min="8972" max="8972" width="10.7265625" style="11" customWidth="1"/>
    <col min="8973" max="8973" width="8.7265625" style="11" customWidth="1"/>
    <col min="8974" max="8974" width="5.7265625" style="11" customWidth="1"/>
    <col min="8975" max="8975" width="6" style="11" customWidth="1"/>
    <col min="8976" max="8976" width="8.7265625" style="11" customWidth="1"/>
    <col min="8977" max="8978" width="11.26953125" style="11" customWidth="1"/>
    <col min="8979" max="8980" width="11.54296875" style="11" customWidth="1"/>
    <col min="8981" max="8981" width="10" style="11" customWidth="1"/>
    <col min="8982" max="8982" width="9.54296875" style="11"/>
    <col min="8983" max="8984" width="8.7265625" style="11" customWidth="1"/>
    <col min="8985" max="8988" width="9.26953125" style="11" customWidth="1"/>
    <col min="8989" max="8990" width="9.453125" style="11" customWidth="1"/>
    <col min="8991" max="8991" width="9.26953125" style="11" customWidth="1"/>
    <col min="8992" max="8992" width="7" style="11" customWidth="1"/>
    <col min="8993" max="9009" width="8.7265625" style="11" customWidth="1"/>
    <col min="9010" max="9011" width="9.54296875" style="11"/>
    <col min="9012" max="9016" width="13" style="11" customWidth="1"/>
    <col min="9017" max="9216" width="9.54296875" style="11"/>
    <col min="9217" max="9217" width="10.453125" style="11" customWidth="1"/>
    <col min="9218" max="9218" width="12.54296875" style="11" customWidth="1"/>
    <col min="9219" max="9219" width="11.453125" style="11" customWidth="1"/>
    <col min="9220" max="9221" width="9.26953125" style="11" customWidth="1"/>
    <col min="9222" max="9222" width="11.54296875" style="11" customWidth="1"/>
    <col min="9223" max="9223" width="13.26953125" style="11" customWidth="1"/>
    <col min="9224" max="9224" width="10.7265625" style="11" customWidth="1"/>
    <col min="9225" max="9225" width="11.54296875" style="11" customWidth="1"/>
    <col min="9226" max="9226" width="8" style="11" customWidth="1"/>
    <col min="9227" max="9227" width="12.26953125" style="11" customWidth="1"/>
    <col min="9228" max="9228" width="10.7265625" style="11" customWidth="1"/>
    <col min="9229" max="9229" width="8.7265625" style="11" customWidth="1"/>
    <col min="9230" max="9230" width="5.7265625" style="11" customWidth="1"/>
    <col min="9231" max="9231" width="6" style="11" customWidth="1"/>
    <col min="9232" max="9232" width="8.7265625" style="11" customWidth="1"/>
    <col min="9233" max="9234" width="11.26953125" style="11" customWidth="1"/>
    <col min="9235" max="9236" width="11.54296875" style="11" customWidth="1"/>
    <col min="9237" max="9237" width="10" style="11" customWidth="1"/>
    <col min="9238" max="9238" width="9.54296875" style="11"/>
    <col min="9239" max="9240" width="8.7265625" style="11" customWidth="1"/>
    <col min="9241" max="9244" width="9.26953125" style="11" customWidth="1"/>
    <col min="9245" max="9246" width="9.453125" style="11" customWidth="1"/>
    <col min="9247" max="9247" width="9.26953125" style="11" customWidth="1"/>
    <col min="9248" max="9248" width="7" style="11" customWidth="1"/>
    <col min="9249" max="9265" width="8.7265625" style="11" customWidth="1"/>
    <col min="9266" max="9267" width="9.54296875" style="11"/>
    <col min="9268" max="9272" width="13" style="11" customWidth="1"/>
    <col min="9273" max="9472" width="9.54296875" style="11"/>
    <col min="9473" max="9473" width="10.453125" style="11" customWidth="1"/>
    <col min="9474" max="9474" width="12.54296875" style="11" customWidth="1"/>
    <col min="9475" max="9475" width="11.453125" style="11" customWidth="1"/>
    <col min="9476" max="9477" width="9.26953125" style="11" customWidth="1"/>
    <col min="9478" max="9478" width="11.54296875" style="11" customWidth="1"/>
    <col min="9479" max="9479" width="13.26953125" style="11" customWidth="1"/>
    <col min="9480" max="9480" width="10.7265625" style="11" customWidth="1"/>
    <col min="9481" max="9481" width="11.54296875" style="11" customWidth="1"/>
    <col min="9482" max="9482" width="8" style="11" customWidth="1"/>
    <col min="9483" max="9483" width="12.26953125" style="11" customWidth="1"/>
    <col min="9484" max="9484" width="10.7265625" style="11" customWidth="1"/>
    <col min="9485" max="9485" width="8.7265625" style="11" customWidth="1"/>
    <col min="9486" max="9486" width="5.7265625" style="11" customWidth="1"/>
    <col min="9487" max="9487" width="6" style="11" customWidth="1"/>
    <col min="9488" max="9488" width="8.7265625" style="11" customWidth="1"/>
    <col min="9489" max="9490" width="11.26953125" style="11" customWidth="1"/>
    <col min="9491" max="9492" width="11.54296875" style="11" customWidth="1"/>
    <col min="9493" max="9493" width="10" style="11" customWidth="1"/>
    <col min="9494" max="9494" width="9.54296875" style="11"/>
    <col min="9495" max="9496" width="8.7265625" style="11" customWidth="1"/>
    <col min="9497" max="9500" width="9.26953125" style="11" customWidth="1"/>
    <col min="9501" max="9502" width="9.453125" style="11" customWidth="1"/>
    <col min="9503" max="9503" width="9.26953125" style="11" customWidth="1"/>
    <col min="9504" max="9504" width="7" style="11" customWidth="1"/>
    <col min="9505" max="9521" width="8.7265625" style="11" customWidth="1"/>
    <col min="9522" max="9523" width="9.54296875" style="11"/>
    <col min="9524" max="9528" width="13" style="11" customWidth="1"/>
    <col min="9529" max="9728" width="9.54296875" style="11"/>
    <col min="9729" max="9729" width="10.453125" style="11" customWidth="1"/>
    <col min="9730" max="9730" width="12.54296875" style="11" customWidth="1"/>
    <col min="9731" max="9731" width="11.453125" style="11" customWidth="1"/>
    <col min="9732" max="9733" width="9.26953125" style="11" customWidth="1"/>
    <col min="9734" max="9734" width="11.54296875" style="11" customWidth="1"/>
    <col min="9735" max="9735" width="13.26953125" style="11" customWidth="1"/>
    <col min="9736" max="9736" width="10.7265625" style="11" customWidth="1"/>
    <col min="9737" max="9737" width="11.54296875" style="11" customWidth="1"/>
    <col min="9738" max="9738" width="8" style="11" customWidth="1"/>
    <col min="9739" max="9739" width="12.26953125" style="11" customWidth="1"/>
    <col min="9740" max="9740" width="10.7265625" style="11" customWidth="1"/>
    <col min="9741" max="9741" width="8.7265625" style="11" customWidth="1"/>
    <col min="9742" max="9742" width="5.7265625" style="11" customWidth="1"/>
    <col min="9743" max="9743" width="6" style="11" customWidth="1"/>
    <col min="9744" max="9744" width="8.7265625" style="11" customWidth="1"/>
    <col min="9745" max="9746" width="11.26953125" style="11" customWidth="1"/>
    <col min="9747" max="9748" width="11.54296875" style="11" customWidth="1"/>
    <col min="9749" max="9749" width="10" style="11" customWidth="1"/>
    <col min="9750" max="9750" width="9.54296875" style="11"/>
    <col min="9751" max="9752" width="8.7265625" style="11" customWidth="1"/>
    <col min="9753" max="9756" width="9.26953125" style="11" customWidth="1"/>
    <col min="9757" max="9758" width="9.453125" style="11" customWidth="1"/>
    <col min="9759" max="9759" width="9.26953125" style="11" customWidth="1"/>
    <col min="9760" max="9760" width="7" style="11" customWidth="1"/>
    <col min="9761" max="9777" width="8.7265625" style="11" customWidth="1"/>
    <col min="9778" max="9779" width="9.54296875" style="11"/>
    <col min="9780" max="9784" width="13" style="11" customWidth="1"/>
    <col min="9785" max="9984" width="9.54296875" style="11"/>
    <col min="9985" max="9985" width="10.453125" style="11" customWidth="1"/>
    <col min="9986" max="9986" width="12.54296875" style="11" customWidth="1"/>
    <col min="9987" max="9987" width="11.453125" style="11" customWidth="1"/>
    <col min="9988" max="9989" width="9.26953125" style="11" customWidth="1"/>
    <col min="9990" max="9990" width="11.54296875" style="11" customWidth="1"/>
    <col min="9991" max="9991" width="13.26953125" style="11" customWidth="1"/>
    <col min="9992" max="9992" width="10.7265625" style="11" customWidth="1"/>
    <col min="9993" max="9993" width="11.54296875" style="11" customWidth="1"/>
    <col min="9994" max="9994" width="8" style="11" customWidth="1"/>
    <col min="9995" max="9995" width="12.26953125" style="11" customWidth="1"/>
    <col min="9996" max="9996" width="10.7265625" style="11" customWidth="1"/>
    <col min="9997" max="9997" width="8.7265625" style="11" customWidth="1"/>
    <col min="9998" max="9998" width="5.7265625" style="11" customWidth="1"/>
    <col min="9999" max="9999" width="6" style="11" customWidth="1"/>
    <col min="10000" max="10000" width="8.7265625" style="11" customWidth="1"/>
    <col min="10001" max="10002" width="11.26953125" style="11" customWidth="1"/>
    <col min="10003" max="10004" width="11.54296875" style="11" customWidth="1"/>
    <col min="10005" max="10005" width="10" style="11" customWidth="1"/>
    <col min="10006" max="10006" width="9.54296875" style="11"/>
    <col min="10007" max="10008" width="8.7265625" style="11" customWidth="1"/>
    <col min="10009" max="10012" width="9.26953125" style="11" customWidth="1"/>
    <col min="10013" max="10014" width="9.453125" style="11" customWidth="1"/>
    <col min="10015" max="10015" width="9.26953125" style="11" customWidth="1"/>
    <col min="10016" max="10016" width="7" style="11" customWidth="1"/>
    <col min="10017" max="10033" width="8.7265625" style="11" customWidth="1"/>
    <col min="10034" max="10035" width="9.54296875" style="11"/>
    <col min="10036" max="10040" width="13" style="11" customWidth="1"/>
    <col min="10041" max="10240" width="9.54296875" style="11"/>
    <col min="10241" max="10241" width="10.453125" style="11" customWidth="1"/>
    <col min="10242" max="10242" width="12.54296875" style="11" customWidth="1"/>
    <col min="10243" max="10243" width="11.453125" style="11" customWidth="1"/>
    <col min="10244" max="10245" width="9.26953125" style="11" customWidth="1"/>
    <col min="10246" max="10246" width="11.54296875" style="11" customWidth="1"/>
    <col min="10247" max="10247" width="13.26953125" style="11" customWidth="1"/>
    <col min="10248" max="10248" width="10.7265625" style="11" customWidth="1"/>
    <col min="10249" max="10249" width="11.54296875" style="11" customWidth="1"/>
    <col min="10250" max="10250" width="8" style="11" customWidth="1"/>
    <col min="10251" max="10251" width="12.26953125" style="11" customWidth="1"/>
    <col min="10252" max="10252" width="10.7265625" style="11" customWidth="1"/>
    <col min="10253" max="10253" width="8.7265625" style="11" customWidth="1"/>
    <col min="10254" max="10254" width="5.7265625" style="11" customWidth="1"/>
    <col min="10255" max="10255" width="6" style="11" customWidth="1"/>
    <col min="10256" max="10256" width="8.7265625" style="11" customWidth="1"/>
    <col min="10257" max="10258" width="11.26953125" style="11" customWidth="1"/>
    <col min="10259" max="10260" width="11.54296875" style="11" customWidth="1"/>
    <col min="10261" max="10261" width="10" style="11" customWidth="1"/>
    <col min="10262" max="10262" width="9.54296875" style="11"/>
    <col min="10263" max="10264" width="8.7265625" style="11" customWidth="1"/>
    <col min="10265" max="10268" width="9.26953125" style="11" customWidth="1"/>
    <col min="10269" max="10270" width="9.453125" style="11" customWidth="1"/>
    <col min="10271" max="10271" width="9.26953125" style="11" customWidth="1"/>
    <col min="10272" max="10272" width="7" style="11" customWidth="1"/>
    <col min="10273" max="10289" width="8.7265625" style="11" customWidth="1"/>
    <col min="10290" max="10291" width="9.54296875" style="11"/>
    <col min="10292" max="10296" width="13" style="11" customWidth="1"/>
    <col min="10297" max="10496" width="9.54296875" style="11"/>
    <col min="10497" max="10497" width="10.453125" style="11" customWidth="1"/>
    <col min="10498" max="10498" width="12.54296875" style="11" customWidth="1"/>
    <col min="10499" max="10499" width="11.453125" style="11" customWidth="1"/>
    <col min="10500" max="10501" width="9.26953125" style="11" customWidth="1"/>
    <col min="10502" max="10502" width="11.54296875" style="11" customWidth="1"/>
    <col min="10503" max="10503" width="13.26953125" style="11" customWidth="1"/>
    <col min="10504" max="10504" width="10.7265625" style="11" customWidth="1"/>
    <col min="10505" max="10505" width="11.54296875" style="11" customWidth="1"/>
    <col min="10506" max="10506" width="8" style="11" customWidth="1"/>
    <col min="10507" max="10507" width="12.26953125" style="11" customWidth="1"/>
    <col min="10508" max="10508" width="10.7265625" style="11" customWidth="1"/>
    <col min="10509" max="10509" width="8.7265625" style="11" customWidth="1"/>
    <col min="10510" max="10510" width="5.7265625" style="11" customWidth="1"/>
    <col min="10511" max="10511" width="6" style="11" customWidth="1"/>
    <col min="10512" max="10512" width="8.7265625" style="11" customWidth="1"/>
    <col min="10513" max="10514" width="11.26953125" style="11" customWidth="1"/>
    <col min="10515" max="10516" width="11.54296875" style="11" customWidth="1"/>
    <col min="10517" max="10517" width="10" style="11" customWidth="1"/>
    <col min="10518" max="10518" width="9.54296875" style="11"/>
    <col min="10519" max="10520" width="8.7265625" style="11" customWidth="1"/>
    <col min="10521" max="10524" width="9.26953125" style="11" customWidth="1"/>
    <col min="10525" max="10526" width="9.453125" style="11" customWidth="1"/>
    <col min="10527" max="10527" width="9.26953125" style="11" customWidth="1"/>
    <col min="10528" max="10528" width="7" style="11" customWidth="1"/>
    <col min="10529" max="10545" width="8.7265625" style="11" customWidth="1"/>
    <col min="10546" max="10547" width="9.54296875" style="11"/>
    <col min="10548" max="10552" width="13" style="11" customWidth="1"/>
    <col min="10553" max="10752" width="9.54296875" style="11"/>
    <col min="10753" max="10753" width="10.453125" style="11" customWidth="1"/>
    <col min="10754" max="10754" width="12.54296875" style="11" customWidth="1"/>
    <col min="10755" max="10755" width="11.453125" style="11" customWidth="1"/>
    <col min="10756" max="10757" width="9.26953125" style="11" customWidth="1"/>
    <col min="10758" max="10758" width="11.54296875" style="11" customWidth="1"/>
    <col min="10759" max="10759" width="13.26953125" style="11" customWidth="1"/>
    <col min="10760" max="10760" width="10.7265625" style="11" customWidth="1"/>
    <col min="10761" max="10761" width="11.54296875" style="11" customWidth="1"/>
    <col min="10762" max="10762" width="8" style="11" customWidth="1"/>
    <col min="10763" max="10763" width="12.26953125" style="11" customWidth="1"/>
    <col min="10764" max="10764" width="10.7265625" style="11" customWidth="1"/>
    <col min="10765" max="10765" width="8.7265625" style="11" customWidth="1"/>
    <col min="10766" max="10766" width="5.7265625" style="11" customWidth="1"/>
    <col min="10767" max="10767" width="6" style="11" customWidth="1"/>
    <col min="10768" max="10768" width="8.7265625" style="11" customWidth="1"/>
    <col min="10769" max="10770" width="11.26953125" style="11" customWidth="1"/>
    <col min="10771" max="10772" width="11.54296875" style="11" customWidth="1"/>
    <col min="10773" max="10773" width="10" style="11" customWidth="1"/>
    <col min="10774" max="10774" width="9.54296875" style="11"/>
    <col min="10775" max="10776" width="8.7265625" style="11" customWidth="1"/>
    <col min="10777" max="10780" width="9.26953125" style="11" customWidth="1"/>
    <col min="10781" max="10782" width="9.453125" style="11" customWidth="1"/>
    <col min="10783" max="10783" width="9.26953125" style="11" customWidth="1"/>
    <col min="10784" max="10784" width="7" style="11" customWidth="1"/>
    <col min="10785" max="10801" width="8.7265625" style="11" customWidth="1"/>
    <col min="10802" max="10803" width="9.54296875" style="11"/>
    <col min="10804" max="10808" width="13" style="11" customWidth="1"/>
    <col min="10809" max="11008" width="9.54296875" style="11"/>
    <col min="11009" max="11009" width="10.453125" style="11" customWidth="1"/>
    <col min="11010" max="11010" width="12.54296875" style="11" customWidth="1"/>
    <col min="11011" max="11011" width="11.453125" style="11" customWidth="1"/>
    <col min="11012" max="11013" width="9.26953125" style="11" customWidth="1"/>
    <col min="11014" max="11014" width="11.54296875" style="11" customWidth="1"/>
    <col min="11015" max="11015" width="13.26953125" style="11" customWidth="1"/>
    <col min="11016" max="11016" width="10.7265625" style="11" customWidth="1"/>
    <col min="11017" max="11017" width="11.54296875" style="11" customWidth="1"/>
    <col min="11018" max="11018" width="8" style="11" customWidth="1"/>
    <col min="11019" max="11019" width="12.26953125" style="11" customWidth="1"/>
    <col min="11020" max="11020" width="10.7265625" style="11" customWidth="1"/>
    <col min="11021" max="11021" width="8.7265625" style="11" customWidth="1"/>
    <col min="11022" max="11022" width="5.7265625" style="11" customWidth="1"/>
    <col min="11023" max="11023" width="6" style="11" customWidth="1"/>
    <col min="11024" max="11024" width="8.7265625" style="11" customWidth="1"/>
    <col min="11025" max="11026" width="11.26953125" style="11" customWidth="1"/>
    <col min="11027" max="11028" width="11.54296875" style="11" customWidth="1"/>
    <col min="11029" max="11029" width="10" style="11" customWidth="1"/>
    <col min="11030" max="11030" width="9.54296875" style="11"/>
    <col min="11031" max="11032" width="8.7265625" style="11" customWidth="1"/>
    <col min="11033" max="11036" width="9.26953125" style="11" customWidth="1"/>
    <col min="11037" max="11038" width="9.453125" style="11" customWidth="1"/>
    <col min="11039" max="11039" width="9.26953125" style="11" customWidth="1"/>
    <col min="11040" max="11040" width="7" style="11" customWidth="1"/>
    <col min="11041" max="11057" width="8.7265625" style="11" customWidth="1"/>
    <col min="11058" max="11059" width="9.54296875" style="11"/>
    <col min="11060" max="11064" width="13" style="11" customWidth="1"/>
    <col min="11065" max="11264" width="9.54296875" style="11"/>
    <col min="11265" max="11265" width="10.453125" style="11" customWidth="1"/>
    <col min="11266" max="11266" width="12.54296875" style="11" customWidth="1"/>
    <col min="11267" max="11267" width="11.453125" style="11" customWidth="1"/>
    <col min="11268" max="11269" width="9.26953125" style="11" customWidth="1"/>
    <col min="11270" max="11270" width="11.54296875" style="11" customWidth="1"/>
    <col min="11271" max="11271" width="13.26953125" style="11" customWidth="1"/>
    <col min="11272" max="11272" width="10.7265625" style="11" customWidth="1"/>
    <col min="11273" max="11273" width="11.54296875" style="11" customWidth="1"/>
    <col min="11274" max="11274" width="8" style="11" customWidth="1"/>
    <col min="11275" max="11275" width="12.26953125" style="11" customWidth="1"/>
    <col min="11276" max="11276" width="10.7265625" style="11" customWidth="1"/>
    <col min="11277" max="11277" width="8.7265625" style="11" customWidth="1"/>
    <col min="11278" max="11278" width="5.7265625" style="11" customWidth="1"/>
    <col min="11279" max="11279" width="6" style="11" customWidth="1"/>
    <col min="11280" max="11280" width="8.7265625" style="11" customWidth="1"/>
    <col min="11281" max="11282" width="11.26953125" style="11" customWidth="1"/>
    <col min="11283" max="11284" width="11.54296875" style="11" customWidth="1"/>
    <col min="11285" max="11285" width="10" style="11" customWidth="1"/>
    <col min="11286" max="11286" width="9.54296875" style="11"/>
    <col min="11287" max="11288" width="8.7265625" style="11" customWidth="1"/>
    <col min="11289" max="11292" width="9.26953125" style="11" customWidth="1"/>
    <col min="11293" max="11294" width="9.453125" style="11" customWidth="1"/>
    <col min="11295" max="11295" width="9.26953125" style="11" customWidth="1"/>
    <col min="11296" max="11296" width="7" style="11" customWidth="1"/>
    <col min="11297" max="11313" width="8.7265625" style="11" customWidth="1"/>
    <col min="11314" max="11315" width="9.54296875" style="11"/>
    <col min="11316" max="11320" width="13" style="11" customWidth="1"/>
    <col min="11321" max="11520" width="9.54296875" style="11"/>
    <col min="11521" max="11521" width="10.453125" style="11" customWidth="1"/>
    <col min="11522" max="11522" width="12.54296875" style="11" customWidth="1"/>
    <col min="11523" max="11523" width="11.453125" style="11" customWidth="1"/>
    <col min="11524" max="11525" width="9.26953125" style="11" customWidth="1"/>
    <col min="11526" max="11526" width="11.54296875" style="11" customWidth="1"/>
    <col min="11527" max="11527" width="13.26953125" style="11" customWidth="1"/>
    <col min="11528" max="11528" width="10.7265625" style="11" customWidth="1"/>
    <col min="11529" max="11529" width="11.54296875" style="11" customWidth="1"/>
    <col min="11530" max="11530" width="8" style="11" customWidth="1"/>
    <col min="11531" max="11531" width="12.26953125" style="11" customWidth="1"/>
    <col min="11532" max="11532" width="10.7265625" style="11" customWidth="1"/>
    <col min="11533" max="11533" width="8.7265625" style="11" customWidth="1"/>
    <col min="11534" max="11534" width="5.7265625" style="11" customWidth="1"/>
    <col min="11535" max="11535" width="6" style="11" customWidth="1"/>
    <col min="11536" max="11536" width="8.7265625" style="11" customWidth="1"/>
    <col min="11537" max="11538" width="11.26953125" style="11" customWidth="1"/>
    <col min="11539" max="11540" width="11.54296875" style="11" customWidth="1"/>
    <col min="11541" max="11541" width="10" style="11" customWidth="1"/>
    <col min="11542" max="11542" width="9.54296875" style="11"/>
    <col min="11543" max="11544" width="8.7265625" style="11" customWidth="1"/>
    <col min="11545" max="11548" width="9.26953125" style="11" customWidth="1"/>
    <col min="11549" max="11550" width="9.453125" style="11" customWidth="1"/>
    <col min="11551" max="11551" width="9.26953125" style="11" customWidth="1"/>
    <col min="11552" max="11552" width="7" style="11" customWidth="1"/>
    <col min="11553" max="11569" width="8.7265625" style="11" customWidth="1"/>
    <col min="11570" max="11571" width="9.54296875" style="11"/>
    <col min="11572" max="11576" width="13" style="11" customWidth="1"/>
    <col min="11577" max="11776" width="9.54296875" style="11"/>
    <col min="11777" max="11777" width="10.453125" style="11" customWidth="1"/>
    <col min="11778" max="11778" width="12.54296875" style="11" customWidth="1"/>
    <col min="11779" max="11779" width="11.453125" style="11" customWidth="1"/>
    <col min="11780" max="11781" width="9.26953125" style="11" customWidth="1"/>
    <col min="11782" max="11782" width="11.54296875" style="11" customWidth="1"/>
    <col min="11783" max="11783" width="13.26953125" style="11" customWidth="1"/>
    <col min="11784" max="11784" width="10.7265625" style="11" customWidth="1"/>
    <col min="11785" max="11785" width="11.54296875" style="11" customWidth="1"/>
    <col min="11786" max="11786" width="8" style="11" customWidth="1"/>
    <col min="11787" max="11787" width="12.26953125" style="11" customWidth="1"/>
    <col min="11788" max="11788" width="10.7265625" style="11" customWidth="1"/>
    <col min="11789" max="11789" width="8.7265625" style="11" customWidth="1"/>
    <col min="11790" max="11790" width="5.7265625" style="11" customWidth="1"/>
    <col min="11791" max="11791" width="6" style="11" customWidth="1"/>
    <col min="11792" max="11792" width="8.7265625" style="11" customWidth="1"/>
    <col min="11793" max="11794" width="11.26953125" style="11" customWidth="1"/>
    <col min="11795" max="11796" width="11.54296875" style="11" customWidth="1"/>
    <col min="11797" max="11797" width="10" style="11" customWidth="1"/>
    <col min="11798" max="11798" width="9.54296875" style="11"/>
    <col min="11799" max="11800" width="8.7265625" style="11" customWidth="1"/>
    <col min="11801" max="11804" width="9.26953125" style="11" customWidth="1"/>
    <col min="11805" max="11806" width="9.453125" style="11" customWidth="1"/>
    <col min="11807" max="11807" width="9.26953125" style="11" customWidth="1"/>
    <col min="11808" max="11808" width="7" style="11" customWidth="1"/>
    <col min="11809" max="11825" width="8.7265625" style="11" customWidth="1"/>
    <col min="11826" max="11827" width="9.54296875" style="11"/>
    <col min="11828" max="11832" width="13" style="11" customWidth="1"/>
    <col min="11833" max="12032" width="9.54296875" style="11"/>
    <col min="12033" max="12033" width="10.453125" style="11" customWidth="1"/>
    <col min="12034" max="12034" width="12.54296875" style="11" customWidth="1"/>
    <col min="12035" max="12035" width="11.453125" style="11" customWidth="1"/>
    <col min="12036" max="12037" width="9.26953125" style="11" customWidth="1"/>
    <col min="12038" max="12038" width="11.54296875" style="11" customWidth="1"/>
    <col min="12039" max="12039" width="13.26953125" style="11" customWidth="1"/>
    <col min="12040" max="12040" width="10.7265625" style="11" customWidth="1"/>
    <col min="12041" max="12041" width="11.54296875" style="11" customWidth="1"/>
    <col min="12042" max="12042" width="8" style="11" customWidth="1"/>
    <col min="12043" max="12043" width="12.26953125" style="11" customWidth="1"/>
    <col min="12044" max="12044" width="10.7265625" style="11" customWidth="1"/>
    <col min="12045" max="12045" width="8.7265625" style="11" customWidth="1"/>
    <col min="12046" max="12046" width="5.7265625" style="11" customWidth="1"/>
    <col min="12047" max="12047" width="6" style="11" customWidth="1"/>
    <col min="12048" max="12048" width="8.7265625" style="11" customWidth="1"/>
    <col min="12049" max="12050" width="11.26953125" style="11" customWidth="1"/>
    <col min="12051" max="12052" width="11.54296875" style="11" customWidth="1"/>
    <col min="12053" max="12053" width="10" style="11" customWidth="1"/>
    <col min="12054" max="12054" width="9.54296875" style="11"/>
    <col min="12055" max="12056" width="8.7265625" style="11" customWidth="1"/>
    <col min="12057" max="12060" width="9.26953125" style="11" customWidth="1"/>
    <col min="12061" max="12062" width="9.453125" style="11" customWidth="1"/>
    <col min="12063" max="12063" width="9.26953125" style="11" customWidth="1"/>
    <col min="12064" max="12064" width="7" style="11" customWidth="1"/>
    <col min="12065" max="12081" width="8.7265625" style="11" customWidth="1"/>
    <col min="12082" max="12083" width="9.54296875" style="11"/>
    <col min="12084" max="12088" width="13" style="11" customWidth="1"/>
    <col min="12089" max="12288" width="9.54296875" style="11"/>
    <col min="12289" max="12289" width="10.453125" style="11" customWidth="1"/>
    <col min="12290" max="12290" width="12.54296875" style="11" customWidth="1"/>
    <col min="12291" max="12291" width="11.453125" style="11" customWidth="1"/>
    <col min="12292" max="12293" width="9.26953125" style="11" customWidth="1"/>
    <col min="12294" max="12294" width="11.54296875" style="11" customWidth="1"/>
    <col min="12295" max="12295" width="13.26953125" style="11" customWidth="1"/>
    <col min="12296" max="12296" width="10.7265625" style="11" customWidth="1"/>
    <col min="12297" max="12297" width="11.54296875" style="11" customWidth="1"/>
    <col min="12298" max="12298" width="8" style="11" customWidth="1"/>
    <col min="12299" max="12299" width="12.26953125" style="11" customWidth="1"/>
    <col min="12300" max="12300" width="10.7265625" style="11" customWidth="1"/>
    <col min="12301" max="12301" width="8.7265625" style="11" customWidth="1"/>
    <col min="12302" max="12302" width="5.7265625" style="11" customWidth="1"/>
    <col min="12303" max="12303" width="6" style="11" customWidth="1"/>
    <col min="12304" max="12304" width="8.7265625" style="11" customWidth="1"/>
    <col min="12305" max="12306" width="11.26953125" style="11" customWidth="1"/>
    <col min="12307" max="12308" width="11.54296875" style="11" customWidth="1"/>
    <col min="12309" max="12309" width="10" style="11" customWidth="1"/>
    <col min="12310" max="12310" width="9.54296875" style="11"/>
    <col min="12311" max="12312" width="8.7265625" style="11" customWidth="1"/>
    <col min="12313" max="12316" width="9.26953125" style="11" customWidth="1"/>
    <col min="12317" max="12318" width="9.453125" style="11" customWidth="1"/>
    <col min="12319" max="12319" width="9.26953125" style="11" customWidth="1"/>
    <col min="12320" max="12320" width="7" style="11" customWidth="1"/>
    <col min="12321" max="12337" width="8.7265625" style="11" customWidth="1"/>
    <col min="12338" max="12339" width="9.54296875" style="11"/>
    <col min="12340" max="12344" width="13" style="11" customWidth="1"/>
    <col min="12345" max="12544" width="9.54296875" style="11"/>
    <col min="12545" max="12545" width="10.453125" style="11" customWidth="1"/>
    <col min="12546" max="12546" width="12.54296875" style="11" customWidth="1"/>
    <col min="12547" max="12547" width="11.453125" style="11" customWidth="1"/>
    <col min="12548" max="12549" width="9.26953125" style="11" customWidth="1"/>
    <col min="12550" max="12550" width="11.54296875" style="11" customWidth="1"/>
    <col min="12551" max="12551" width="13.26953125" style="11" customWidth="1"/>
    <col min="12552" max="12552" width="10.7265625" style="11" customWidth="1"/>
    <col min="12553" max="12553" width="11.54296875" style="11" customWidth="1"/>
    <col min="12554" max="12554" width="8" style="11" customWidth="1"/>
    <col min="12555" max="12555" width="12.26953125" style="11" customWidth="1"/>
    <col min="12556" max="12556" width="10.7265625" style="11" customWidth="1"/>
    <col min="12557" max="12557" width="8.7265625" style="11" customWidth="1"/>
    <col min="12558" max="12558" width="5.7265625" style="11" customWidth="1"/>
    <col min="12559" max="12559" width="6" style="11" customWidth="1"/>
    <col min="12560" max="12560" width="8.7265625" style="11" customWidth="1"/>
    <col min="12561" max="12562" width="11.26953125" style="11" customWidth="1"/>
    <col min="12563" max="12564" width="11.54296875" style="11" customWidth="1"/>
    <col min="12565" max="12565" width="10" style="11" customWidth="1"/>
    <col min="12566" max="12566" width="9.54296875" style="11"/>
    <col min="12567" max="12568" width="8.7265625" style="11" customWidth="1"/>
    <col min="12569" max="12572" width="9.26953125" style="11" customWidth="1"/>
    <col min="12573" max="12574" width="9.453125" style="11" customWidth="1"/>
    <col min="12575" max="12575" width="9.26953125" style="11" customWidth="1"/>
    <col min="12576" max="12576" width="7" style="11" customWidth="1"/>
    <col min="12577" max="12593" width="8.7265625" style="11" customWidth="1"/>
    <col min="12594" max="12595" width="9.54296875" style="11"/>
    <col min="12596" max="12600" width="13" style="11" customWidth="1"/>
    <col min="12601" max="12800" width="9.54296875" style="11"/>
    <col min="12801" max="12801" width="10.453125" style="11" customWidth="1"/>
    <col min="12802" max="12802" width="12.54296875" style="11" customWidth="1"/>
    <col min="12803" max="12803" width="11.453125" style="11" customWidth="1"/>
    <col min="12804" max="12805" width="9.26953125" style="11" customWidth="1"/>
    <col min="12806" max="12806" width="11.54296875" style="11" customWidth="1"/>
    <col min="12807" max="12807" width="13.26953125" style="11" customWidth="1"/>
    <col min="12808" max="12808" width="10.7265625" style="11" customWidth="1"/>
    <col min="12809" max="12809" width="11.54296875" style="11" customWidth="1"/>
    <col min="12810" max="12810" width="8" style="11" customWidth="1"/>
    <col min="12811" max="12811" width="12.26953125" style="11" customWidth="1"/>
    <col min="12812" max="12812" width="10.7265625" style="11" customWidth="1"/>
    <col min="12813" max="12813" width="8.7265625" style="11" customWidth="1"/>
    <col min="12814" max="12814" width="5.7265625" style="11" customWidth="1"/>
    <col min="12815" max="12815" width="6" style="11" customWidth="1"/>
    <col min="12816" max="12816" width="8.7265625" style="11" customWidth="1"/>
    <col min="12817" max="12818" width="11.26953125" style="11" customWidth="1"/>
    <col min="12819" max="12820" width="11.54296875" style="11" customWidth="1"/>
    <col min="12821" max="12821" width="10" style="11" customWidth="1"/>
    <col min="12822" max="12822" width="9.54296875" style="11"/>
    <col min="12823" max="12824" width="8.7265625" style="11" customWidth="1"/>
    <col min="12825" max="12828" width="9.26953125" style="11" customWidth="1"/>
    <col min="12829" max="12830" width="9.453125" style="11" customWidth="1"/>
    <col min="12831" max="12831" width="9.26953125" style="11" customWidth="1"/>
    <col min="12832" max="12832" width="7" style="11" customWidth="1"/>
    <col min="12833" max="12849" width="8.7265625" style="11" customWidth="1"/>
    <col min="12850" max="12851" width="9.54296875" style="11"/>
    <col min="12852" max="12856" width="13" style="11" customWidth="1"/>
    <col min="12857" max="13056" width="9.54296875" style="11"/>
    <col min="13057" max="13057" width="10.453125" style="11" customWidth="1"/>
    <col min="13058" max="13058" width="12.54296875" style="11" customWidth="1"/>
    <col min="13059" max="13059" width="11.453125" style="11" customWidth="1"/>
    <col min="13060" max="13061" width="9.26953125" style="11" customWidth="1"/>
    <col min="13062" max="13062" width="11.54296875" style="11" customWidth="1"/>
    <col min="13063" max="13063" width="13.26953125" style="11" customWidth="1"/>
    <col min="13064" max="13064" width="10.7265625" style="11" customWidth="1"/>
    <col min="13065" max="13065" width="11.54296875" style="11" customWidth="1"/>
    <col min="13066" max="13066" width="8" style="11" customWidth="1"/>
    <col min="13067" max="13067" width="12.26953125" style="11" customWidth="1"/>
    <col min="13068" max="13068" width="10.7265625" style="11" customWidth="1"/>
    <col min="13069" max="13069" width="8.7265625" style="11" customWidth="1"/>
    <col min="13070" max="13070" width="5.7265625" style="11" customWidth="1"/>
    <col min="13071" max="13071" width="6" style="11" customWidth="1"/>
    <col min="13072" max="13072" width="8.7265625" style="11" customWidth="1"/>
    <col min="13073" max="13074" width="11.26953125" style="11" customWidth="1"/>
    <col min="13075" max="13076" width="11.54296875" style="11" customWidth="1"/>
    <col min="13077" max="13077" width="10" style="11" customWidth="1"/>
    <col min="13078" max="13078" width="9.54296875" style="11"/>
    <col min="13079" max="13080" width="8.7265625" style="11" customWidth="1"/>
    <col min="13081" max="13084" width="9.26953125" style="11" customWidth="1"/>
    <col min="13085" max="13086" width="9.453125" style="11" customWidth="1"/>
    <col min="13087" max="13087" width="9.26953125" style="11" customWidth="1"/>
    <col min="13088" max="13088" width="7" style="11" customWidth="1"/>
    <col min="13089" max="13105" width="8.7265625" style="11" customWidth="1"/>
    <col min="13106" max="13107" width="9.54296875" style="11"/>
    <col min="13108" max="13112" width="13" style="11" customWidth="1"/>
    <col min="13113" max="13312" width="9.54296875" style="11"/>
    <col min="13313" max="13313" width="10.453125" style="11" customWidth="1"/>
    <col min="13314" max="13314" width="12.54296875" style="11" customWidth="1"/>
    <col min="13315" max="13315" width="11.453125" style="11" customWidth="1"/>
    <col min="13316" max="13317" width="9.26953125" style="11" customWidth="1"/>
    <col min="13318" max="13318" width="11.54296875" style="11" customWidth="1"/>
    <col min="13319" max="13319" width="13.26953125" style="11" customWidth="1"/>
    <col min="13320" max="13320" width="10.7265625" style="11" customWidth="1"/>
    <col min="13321" max="13321" width="11.54296875" style="11" customWidth="1"/>
    <col min="13322" max="13322" width="8" style="11" customWidth="1"/>
    <col min="13323" max="13323" width="12.26953125" style="11" customWidth="1"/>
    <col min="13324" max="13324" width="10.7265625" style="11" customWidth="1"/>
    <col min="13325" max="13325" width="8.7265625" style="11" customWidth="1"/>
    <col min="13326" max="13326" width="5.7265625" style="11" customWidth="1"/>
    <col min="13327" max="13327" width="6" style="11" customWidth="1"/>
    <col min="13328" max="13328" width="8.7265625" style="11" customWidth="1"/>
    <col min="13329" max="13330" width="11.26953125" style="11" customWidth="1"/>
    <col min="13331" max="13332" width="11.54296875" style="11" customWidth="1"/>
    <col min="13333" max="13333" width="10" style="11" customWidth="1"/>
    <col min="13334" max="13334" width="9.54296875" style="11"/>
    <col min="13335" max="13336" width="8.7265625" style="11" customWidth="1"/>
    <col min="13337" max="13340" width="9.26953125" style="11" customWidth="1"/>
    <col min="13341" max="13342" width="9.453125" style="11" customWidth="1"/>
    <col min="13343" max="13343" width="9.26953125" style="11" customWidth="1"/>
    <col min="13344" max="13344" width="7" style="11" customWidth="1"/>
    <col min="13345" max="13361" width="8.7265625" style="11" customWidth="1"/>
    <col min="13362" max="13363" width="9.54296875" style="11"/>
    <col min="13364" max="13368" width="13" style="11" customWidth="1"/>
    <col min="13369" max="13568" width="9.54296875" style="11"/>
    <col min="13569" max="13569" width="10.453125" style="11" customWidth="1"/>
    <col min="13570" max="13570" width="12.54296875" style="11" customWidth="1"/>
    <col min="13571" max="13571" width="11.453125" style="11" customWidth="1"/>
    <col min="13572" max="13573" width="9.26953125" style="11" customWidth="1"/>
    <col min="13574" max="13574" width="11.54296875" style="11" customWidth="1"/>
    <col min="13575" max="13575" width="13.26953125" style="11" customWidth="1"/>
    <col min="13576" max="13576" width="10.7265625" style="11" customWidth="1"/>
    <col min="13577" max="13577" width="11.54296875" style="11" customWidth="1"/>
    <col min="13578" max="13578" width="8" style="11" customWidth="1"/>
    <col min="13579" max="13579" width="12.26953125" style="11" customWidth="1"/>
    <col min="13580" max="13580" width="10.7265625" style="11" customWidth="1"/>
    <col min="13581" max="13581" width="8.7265625" style="11" customWidth="1"/>
    <col min="13582" max="13582" width="5.7265625" style="11" customWidth="1"/>
    <col min="13583" max="13583" width="6" style="11" customWidth="1"/>
    <col min="13584" max="13584" width="8.7265625" style="11" customWidth="1"/>
    <col min="13585" max="13586" width="11.26953125" style="11" customWidth="1"/>
    <col min="13587" max="13588" width="11.54296875" style="11" customWidth="1"/>
    <col min="13589" max="13589" width="10" style="11" customWidth="1"/>
    <col min="13590" max="13590" width="9.54296875" style="11"/>
    <col min="13591" max="13592" width="8.7265625" style="11" customWidth="1"/>
    <col min="13593" max="13596" width="9.26953125" style="11" customWidth="1"/>
    <col min="13597" max="13598" width="9.453125" style="11" customWidth="1"/>
    <col min="13599" max="13599" width="9.26953125" style="11" customWidth="1"/>
    <col min="13600" max="13600" width="7" style="11" customWidth="1"/>
    <col min="13601" max="13617" width="8.7265625" style="11" customWidth="1"/>
    <col min="13618" max="13619" width="9.54296875" style="11"/>
    <col min="13620" max="13624" width="13" style="11" customWidth="1"/>
    <col min="13625" max="13824" width="9.54296875" style="11"/>
    <col min="13825" max="13825" width="10.453125" style="11" customWidth="1"/>
    <col min="13826" max="13826" width="12.54296875" style="11" customWidth="1"/>
    <col min="13827" max="13827" width="11.453125" style="11" customWidth="1"/>
    <col min="13828" max="13829" width="9.26953125" style="11" customWidth="1"/>
    <col min="13830" max="13830" width="11.54296875" style="11" customWidth="1"/>
    <col min="13831" max="13831" width="13.26953125" style="11" customWidth="1"/>
    <col min="13832" max="13832" width="10.7265625" style="11" customWidth="1"/>
    <col min="13833" max="13833" width="11.54296875" style="11" customWidth="1"/>
    <col min="13834" max="13834" width="8" style="11" customWidth="1"/>
    <col min="13835" max="13835" width="12.26953125" style="11" customWidth="1"/>
    <col min="13836" max="13836" width="10.7265625" style="11" customWidth="1"/>
    <col min="13837" max="13837" width="8.7265625" style="11" customWidth="1"/>
    <col min="13838" max="13838" width="5.7265625" style="11" customWidth="1"/>
    <col min="13839" max="13839" width="6" style="11" customWidth="1"/>
    <col min="13840" max="13840" width="8.7265625" style="11" customWidth="1"/>
    <col min="13841" max="13842" width="11.26953125" style="11" customWidth="1"/>
    <col min="13843" max="13844" width="11.54296875" style="11" customWidth="1"/>
    <col min="13845" max="13845" width="10" style="11" customWidth="1"/>
    <col min="13846" max="13846" width="9.54296875" style="11"/>
    <col min="13847" max="13848" width="8.7265625" style="11" customWidth="1"/>
    <col min="13849" max="13852" width="9.26953125" style="11" customWidth="1"/>
    <col min="13853" max="13854" width="9.453125" style="11" customWidth="1"/>
    <col min="13855" max="13855" width="9.26953125" style="11" customWidth="1"/>
    <col min="13856" max="13856" width="7" style="11" customWidth="1"/>
    <col min="13857" max="13873" width="8.7265625" style="11" customWidth="1"/>
    <col min="13874" max="13875" width="9.54296875" style="11"/>
    <col min="13876" max="13880" width="13" style="11" customWidth="1"/>
    <col min="13881" max="14080" width="9.54296875" style="11"/>
    <col min="14081" max="14081" width="10.453125" style="11" customWidth="1"/>
    <col min="14082" max="14082" width="12.54296875" style="11" customWidth="1"/>
    <col min="14083" max="14083" width="11.453125" style="11" customWidth="1"/>
    <col min="14084" max="14085" width="9.26953125" style="11" customWidth="1"/>
    <col min="14086" max="14086" width="11.54296875" style="11" customWidth="1"/>
    <col min="14087" max="14087" width="13.26953125" style="11" customWidth="1"/>
    <col min="14088" max="14088" width="10.7265625" style="11" customWidth="1"/>
    <col min="14089" max="14089" width="11.54296875" style="11" customWidth="1"/>
    <col min="14090" max="14090" width="8" style="11" customWidth="1"/>
    <col min="14091" max="14091" width="12.26953125" style="11" customWidth="1"/>
    <col min="14092" max="14092" width="10.7265625" style="11" customWidth="1"/>
    <col min="14093" max="14093" width="8.7265625" style="11" customWidth="1"/>
    <col min="14094" max="14094" width="5.7265625" style="11" customWidth="1"/>
    <col min="14095" max="14095" width="6" style="11" customWidth="1"/>
    <col min="14096" max="14096" width="8.7265625" style="11" customWidth="1"/>
    <col min="14097" max="14098" width="11.26953125" style="11" customWidth="1"/>
    <col min="14099" max="14100" width="11.54296875" style="11" customWidth="1"/>
    <col min="14101" max="14101" width="10" style="11" customWidth="1"/>
    <col min="14102" max="14102" width="9.54296875" style="11"/>
    <col min="14103" max="14104" width="8.7265625" style="11" customWidth="1"/>
    <col min="14105" max="14108" width="9.26953125" style="11" customWidth="1"/>
    <col min="14109" max="14110" width="9.453125" style="11" customWidth="1"/>
    <col min="14111" max="14111" width="9.26953125" style="11" customWidth="1"/>
    <col min="14112" max="14112" width="7" style="11" customWidth="1"/>
    <col min="14113" max="14129" width="8.7265625" style="11" customWidth="1"/>
    <col min="14130" max="14131" width="9.54296875" style="11"/>
    <col min="14132" max="14136" width="13" style="11" customWidth="1"/>
    <col min="14137" max="14336" width="9.54296875" style="11"/>
    <col min="14337" max="14337" width="10.453125" style="11" customWidth="1"/>
    <col min="14338" max="14338" width="12.54296875" style="11" customWidth="1"/>
    <col min="14339" max="14339" width="11.453125" style="11" customWidth="1"/>
    <col min="14340" max="14341" width="9.26953125" style="11" customWidth="1"/>
    <col min="14342" max="14342" width="11.54296875" style="11" customWidth="1"/>
    <col min="14343" max="14343" width="13.26953125" style="11" customWidth="1"/>
    <col min="14344" max="14344" width="10.7265625" style="11" customWidth="1"/>
    <col min="14345" max="14345" width="11.54296875" style="11" customWidth="1"/>
    <col min="14346" max="14346" width="8" style="11" customWidth="1"/>
    <col min="14347" max="14347" width="12.26953125" style="11" customWidth="1"/>
    <col min="14348" max="14348" width="10.7265625" style="11" customWidth="1"/>
    <col min="14349" max="14349" width="8.7265625" style="11" customWidth="1"/>
    <col min="14350" max="14350" width="5.7265625" style="11" customWidth="1"/>
    <col min="14351" max="14351" width="6" style="11" customWidth="1"/>
    <col min="14352" max="14352" width="8.7265625" style="11" customWidth="1"/>
    <col min="14353" max="14354" width="11.26953125" style="11" customWidth="1"/>
    <col min="14355" max="14356" width="11.54296875" style="11" customWidth="1"/>
    <col min="14357" max="14357" width="10" style="11" customWidth="1"/>
    <col min="14358" max="14358" width="9.54296875" style="11"/>
    <col min="14359" max="14360" width="8.7265625" style="11" customWidth="1"/>
    <col min="14361" max="14364" width="9.26953125" style="11" customWidth="1"/>
    <col min="14365" max="14366" width="9.453125" style="11" customWidth="1"/>
    <col min="14367" max="14367" width="9.26953125" style="11" customWidth="1"/>
    <col min="14368" max="14368" width="7" style="11" customWidth="1"/>
    <col min="14369" max="14385" width="8.7265625" style="11" customWidth="1"/>
    <col min="14386" max="14387" width="9.54296875" style="11"/>
    <col min="14388" max="14392" width="13" style="11" customWidth="1"/>
    <col min="14393" max="14592" width="9.54296875" style="11"/>
    <col min="14593" max="14593" width="10.453125" style="11" customWidth="1"/>
    <col min="14594" max="14594" width="12.54296875" style="11" customWidth="1"/>
    <col min="14595" max="14595" width="11.453125" style="11" customWidth="1"/>
    <col min="14596" max="14597" width="9.26953125" style="11" customWidth="1"/>
    <col min="14598" max="14598" width="11.54296875" style="11" customWidth="1"/>
    <col min="14599" max="14599" width="13.26953125" style="11" customWidth="1"/>
    <col min="14600" max="14600" width="10.7265625" style="11" customWidth="1"/>
    <col min="14601" max="14601" width="11.54296875" style="11" customWidth="1"/>
    <col min="14602" max="14602" width="8" style="11" customWidth="1"/>
    <col min="14603" max="14603" width="12.26953125" style="11" customWidth="1"/>
    <col min="14604" max="14604" width="10.7265625" style="11" customWidth="1"/>
    <col min="14605" max="14605" width="8.7265625" style="11" customWidth="1"/>
    <col min="14606" max="14606" width="5.7265625" style="11" customWidth="1"/>
    <col min="14607" max="14607" width="6" style="11" customWidth="1"/>
    <col min="14608" max="14608" width="8.7265625" style="11" customWidth="1"/>
    <col min="14609" max="14610" width="11.26953125" style="11" customWidth="1"/>
    <col min="14611" max="14612" width="11.54296875" style="11" customWidth="1"/>
    <col min="14613" max="14613" width="10" style="11" customWidth="1"/>
    <col min="14614" max="14614" width="9.54296875" style="11"/>
    <col min="14615" max="14616" width="8.7265625" style="11" customWidth="1"/>
    <col min="14617" max="14620" width="9.26953125" style="11" customWidth="1"/>
    <col min="14621" max="14622" width="9.453125" style="11" customWidth="1"/>
    <col min="14623" max="14623" width="9.26953125" style="11" customWidth="1"/>
    <col min="14624" max="14624" width="7" style="11" customWidth="1"/>
    <col min="14625" max="14641" width="8.7265625" style="11" customWidth="1"/>
    <col min="14642" max="14643" width="9.54296875" style="11"/>
    <col min="14644" max="14648" width="13" style="11" customWidth="1"/>
    <col min="14649" max="14848" width="9.54296875" style="11"/>
    <col min="14849" max="14849" width="10.453125" style="11" customWidth="1"/>
    <col min="14850" max="14850" width="12.54296875" style="11" customWidth="1"/>
    <col min="14851" max="14851" width="11.453125" style="11" customWidth="1"/>
    <col min="14852" max="14853" width="9.26953125" style="11" customWidth="1"/>
    <col min="14854" max="14854" width="11.54296875" style="11" customWidth="1"/>
    <col min="14855" max="14855" width="13.26953125" style="11" customWidth="1"/>
    <col min="14856" max="14856" width="10.7265625" style="11" customWidth="1"/>
    <col min="14857" max="14857" width="11.54296875" style="11" customWidth="1"/>
    <col min="14858" max="14858" width="8" style="11" customWidth="1"/>
    <col min="14859" max="14859" width="12.26953125" style="11" customWidth="1"/>
    <col min="14860" max="14860" width="10.7265625" style="11" customWidth="1"/>
    <col min="14861" max="14861" width="8.7265625" style="11" customWidth="1"/>
    <col min="14862" max="14862" width="5.7265625" style="11" customWidth="1"/>
    <col min="14863" max="14863" width="6" style="11" customWidth="1"/>
    <col min="14864" max="14864" width="8.7265625" style="11" customWidth="1"/>
    <col min="14865" max="14866" width="11.26953125" style="11" customWidth="1"/>
    <col min="14867" max="14868" width="11.54296875" style="11" customWidth="1"/>
    <col min="14869" max="14869" width="10" style="11" customWidth="1"/>
    <col min="14870" max="14870" width="9.54296875" style="11"/>
    <col min="14871" max="14872" width="8.7265625" style="11" customWidth="1"/>
    <col min="14873" max="14876" width="9.26953125" style="11" customWidth="1"/>
    <col min="14877" max="14878" width="9.453125" style="11" customWidth="1"/>
    <col min="14879" max="14879" width="9.26953125" style="11" customWidth="1"/>
    <col min="14880" max="14880" width="7" style="11" customWidth="1"/>
    <col min="14881" max="14897" width="8.7265625" style="11" customWidth="1"/>
    <col min="14898" max="14899" width="9.54296875" style="11"/>
    <col min="14900" max="14904" width="13" style="11" customWidth="1"/>
    <col min="14905" max="15104" width="9.54296875" style="11"/>
    <col min="15105" max="15105" width="10.453125" style="11" customWidth="1"/>
    <col min="15106" max="15106" width="12.54296875" style="11" customWidth="1"/>
    <col min="15107" max="15107" width="11.453125" style="11" customWidth="1"/>
    <col min="15108" max="15109" width="9.26953125" style="11" customWidth="1"/>
    <col min="15110" max="15110" width="11.54296875" style="11" customWidth="1"/>
    <col min="15111" max="15111" width="13.26953125" style="11" customWidth="1"/>
    <col min="15112" max="15112" width="10.7265625" style="11" customWidth="1"/>
    <col min="15113" max="15113" width="11.54296875" style="11" customWidth="1"/>
    <col min="15114" max="15114" width="8" style="11" customWidth="1"/>
    <col min="15115" max="15115" width="12.26953125" style="11" customWidth="1"/>
    <col min="15116" max="15116" width="10.7265625" style="11" customWidth="1"/>
    <col min="15117" max="15117" width="8.7265625" style="11" customWidth="1"/>
    <col min="15118" max="15118" width="5.7265625" style="11" customWidth="1"/>
    <col min="15119" max="15119" width="6" style="11" customWidth="1"/>
    <col min="15120" max="15120" width="8.7265625" style="11" customWidth="1"/>
    <col min="15121" max="15122" width="11.26953125" style="11" customWidth="1"/>
    <col min="15123" max="15124" width="11.54296875" style="11" customWidth="1"/>
    <col min="15125" max="15125" width="10" style="11" customWidth="1"/>
    <col min="15126" max="15126" width="9.54296875" style="11"/>
    <col min="15127" max="15128" width="8.7265625" style="11" customWidth="1"/>
    <col min="15129" max="15132" width="9.26953125" style="11" customWidth="1"/>
    <col min="15133" max="15134" width="9.453125" style="11" customWidth="1"/>
    <col min="15135" max="15135" width="9.26953125" style="11" customWidth="1"/>
    <col min="15136" max="15136" width="7" style="11" customWidth="1"/>
    <col min="15137" max="15153" width="8.7265625" style="11" customWidth="1"/>
    <col min="15154" max="15155" width="9.54296875" style="11"/>
    <col min="15156" max="15160" width="13" style="11" customWidth="1"/>
    <col min="15161" max="15360" width="9.54296875" style="11"/>
    <col min="15361" max="15361" width="10.453125" style="11" customWidth="1"/>
    <col min="15362" max="15362" width="12.54296875" style="11" customWidth="1"/>
    <col min="15363" max="15363" width="11.453125" style="11" customWidth="1"/>
    <col min="15364" max="15365" width="9.26953125" style="11" customWidth="1"/>
    <col min="15366" max="15366" width="11.54296875" style="11" customWidth="1"/>
    <col min="15367" max="15367" width="13.26953125" style="11" customWidth="1"/>
    <col min="15368" max="15368" width="10.7265625" style="11" customWidth="1"/>
    <col min="15369" max="15369" width="11.54296875" style="11" customWidth="1"/>
    <col min="15370" max="15370" width="8" style="11" customWidth="1"/>
    <col min="15371" max="15371" width="12.26953125" style="11" customWidth="1"/>
    <col min="15372" max="15372" width="10.7265625" style="11" customWidth="1"/>
    <col min="15373" max="15373" width="8.7265625" style="11" customWidth="1"/>
    <col min="15374" max="15374" width="5.7265625" style="11" customWidth="1"/>
    <col min="15375" max="15375" width="6" style="11" customWidth="1"/>
    <col min="15376" max="15376" width="8.7265625" style="11" customWidth="1"/>
    <col min="15377" max="15378" width="11.26953125" style="11" customWidth="1"/>
    <col min="15379" max="15380" width="11.54296875" style="11" customWidth="1"/>
    <col min="15381" max="15381" width="10" style="11" customWidth="1"/>
    <col min="15382" max="15382" width="9.54296875" style="11"/>
    <col min="15383" max="15384" width="8.7265625" style="11" customWidth="1"/>
    <col min="15385" max="15388" width="9.26953125" style="11" customWidth="1"/>
    <col min="15389" max="15390" width="9.453125" style="11" customWidth="1"/>
    <col min="15391" max="15391" width="9.26953125" style="11" customWidth="1"/>
    <col min="15392" max="15392" width="7" style="11" customWidth="1"/>
    <col min="15393" max="15409" width="8.7265625" style="11" customWidth="1"/>
    <col min="15410" max="15411" width="9.54296875" style="11"/>
    <col min="15412" max="15416" width="13" style="11" customWidth="1"/>
    <col min="15417" max="15616" width="9.54296875" style="11"/>
    <col min="15617" max="15617" width="10.453125" style="11" customWidth="1"/>
    <col min="15618" max="15618" width="12.54296875" style="11" customWidth="1"/>
    <col min="15619" max="15619" width="11.453125" style="11" customWidth="1"/>
    <col min="15620" max="15621" width="9.26953125" style="11" customWidth="1"/>
    <col min="15622" max="15622" width="11.54296875" style="11" customWidth="1"/>
    <col min="15623" max="15623" width="13.26953125" style="11" customWidth="1"/>
    <col min="15624" max="15624" width="10.7265625" style="11" customWidth="1"/>
    <col min="15625" max="15625" width="11.54296875" style="11" customWidth="1"/>
    <col min="15626" max="15626" width="8" style="11" customWidth="1"/>
    <col min="15627" max="15627" width="12.26953125" style="11" customWidth="1"/>
    <col min="15628" max="15628" width="10.7265625" style="11" customWidth="1"/>
    <col min="15629" max="15629" width="8.7265625" style="11" customWidth="1"/>
    <col min="15630" max="15630" width="5.7265625" style="11" customWidth="1"/>
    <col min="15631" max="15631" width="6" style="11" customWidth="1"/>
    <col min="15632" max="15632" width="8.7265625" style="11" customWidth="1"/>
    <col min="15633" max="15634" width="11.26953125" style="11" customWidth="1"/>
    <col min="15635" max="15636" width="11.54296875" style="11" customWidth="1"/>
    <col min="15637" max="15637" width="10" style="11" customWidth="1"/>
    <col min="15638" max="15638" width="9.54296875" style="11"/>
    <col min="15639" max="15640" width="8.7265625" style="11" customWidth="1"/>
    <col min="15641" max="15644" width="9.26953125" style="11" customWidth="1"/>
    <col min="15645" max="15646" width="9.453125" style="11" customWidth="1"/>
    <col min="15647" max="15647" width="9.26953125" style="11" customWidth="1"/>
    <col min="15648" max="15648" width="7" style="11" customWidth="1"/>
    <col min="15649" max="15665" width="8.7265625" style="11" customWidth="1"/>
    <col min="15666" max="15667" width="9.54296875" style="11"/>
    <col min="15668" max="15672" width="13" style="11" customWidth="1"/>
    <col min="15673" max="15872" width="9.54296875" style="11"/>
    <col min="15873" max="15873" width="10.453125" style="11" customWidth="1"/>
    <col min="15874" max="15874" width="12.54296875" style="11" customWidth="1"/>
    <col min="15875" max="15875" width="11.453125" style="11" customWidth="1"/>
    <col min="15876" max="15877" width="9.26953125" style="11" customWidth="1"/>
    <col min="15878" max="15878" width="11.54296875" style="11" customWidth="1"/>
    <col min="15879" max="15879" width="13.26953125" style="11" customWidth="1"/>
    <col min="15880" max="15880" width="10.7265625" style="11" customWidth="1"/>
    <col min="15881" max="15881" width="11.54296875" style="11" customWidth="1"/>
    <col min="15882" max="15882" width="8" style="11" customWidth="1"/>
    <col min="15883" max="15883" width="12.26953125" style="11" customWidth="1"/>
    <col min="15884" max="15884" width="10.7265625" style="11" customWidth="1"/>
    <col min="15885" max="15885" width="8.7265625" style="11" customWidth="1"/>
    <col min="15886" max="15886" width="5.7265625" style="11" customWidth="1"/>
    <col min="15887" max="15887" width="6" style="11" customWidth="1"/>
    <col min="15888" max="15888" width="8.7265625" style="11" customWidth="1"/>
    <col min="15889" max="15890" width="11.26953125" style="11" customWidth="1"/>
    <col min="15891" max="15892" width="11.54296875" style="11" customWidth="1"/>
    <col min="15893" max="15893" width="10" style="11" customWidth="1"/>
    <col min="15894" max="15894" width="9.54296875" style="11"/>
    <col min="15895" max="15896" width="8.7265625" style="11" customWidth="1"/>
    <col min="15897" max="15900" width="9.26953125" style="11" customWidth="1"/>
    <col min="15901" max="15902" width="9.453125" style="11" customWidth="1"/>
    <col min="15903" max="15903" width="9.26953125" style="11" customWidth="1"/>
    <col min="15904" max="15904" width="7" style="11" customWidth="1"/>
    <col min="15905" max="15921" width="8.7265625" style="11" customWidth="1"/>
    <col min="15922" max="15923" width="9.54296875" style="11"/>
    <col min="15924" max="15928" width="13" style="11" customWidth="1"/>
    <col min="15929" max="16128" width="9.54296875" style="11"/>
    <col min="16129" max="16129" width="10.453125" style="11" customWidth="1"/>
    <col min="16130" max="16130" width="12.54296875" style="11" customWidth="1"/>
    <col min="16131" max="16131" width="11.453125" style="11" customWidth="1"/>
    <col min="16132" max="16133" width="9.26953125" style="11" customWidth="1"/>
    <col min="16134" max="16134" width="11.54296875" style="11" customWidth="1"/>
    <col min="16135" max="16135" width="13.26953125" style="11" customWidth="1"/>
    <col min="16136" max="16136" width="10.7265625" style="11" customWidth="1"/>
    <col min="16137" max="16137" width="11.54296875" style="11" customWidth="1"/>
    <col min="16138" max="16138" width="8" style="11" customWidth="1"/>
    <col min="16139" max="16139" width="12.26953125" style="11" customWidth="1"/>
    <col min="16140" max="16140" width="10.7265625" style="11" customWidth="1"/>
    <col min="16141" max="16141" width="8.7265625" style="11" customWidth="1"/>
    <col min="16142" max="16142" width="5.7265625" style="11" customWidth="1"/>
    <col min="16143" max="16143" width="6" style="11" customWidth="1"/>
    <col min="16144" max="16144" width="8.7265625" style="11" customWidth="1"/>
    <col min="16145" max="16146" width="11.26953125" style="11" customWidth="1"/>
    <col min="16147" max="16148" width="11.54296875" style="11" customWidth="1"/>
    <col min="16149" max="16149" width="10" style="11" customWidth="1"/>
    <col min="16150" max="16150" width="9.54296875" style="11"/>
    <col min="16151" max="16152" width="8.7265625" style="11" customWidth="1"/>
    <col min="16153" max="16156" width="9.26953125" style="11" customWidth="1"/>
    <col min="16157" max="16158" width="9.453125" style="11" customWidth="1"/>
    <col min="16159" max="16159" width="9.26953125" style="11" customWidth="1"/>
    <col min="16160" max="16160" width="7" style="11" customWidth="1"/>
    <col min="16161" max="16177" width="8.7265625" style="11" customWidth="1"/>
    <col min="16178" max="16179" width="9.54296875" style="11"/>
    <col min="16180" max="16184" width="13" style="11" customWidth="1"/>
    <col min="16185" max="16384" width="9.54296875" style="11"/>
  </cols>
  <sheetData>
    <row r="1" spans="1:64" ht="15" customHeight="1" thickBot="1" x14ac:dyDescent="0.35">
      <c r="A1" s="1"/>
      <c r="B1" s="1"/>
      <c r="C1" s="1"/>
      <c r="D1" s="1"/>
      <c r="E1" s="1"/>
      <c r="F1" s="2" t="s">
        <v>0</v>
      </c>
      <c r="G1" s="3" t="s">
        <v>1</v>
      </c>
      <c r="H1" s="3"/>
      <c r="I1" s="4"/>
      <c r="J1" s="5" t="s">
        <v>2</v>
      </c>
      <c r="K1" s="6" t="s">
        <v>3</v>
      </c>
      <c r="L1" s="6"/>
      <c r="M1" s="6"/>
      <c r="N1" s="7"/>
      <c r="O1" s="8"/>
      <c r="P1" s="8"/>
      <c r="Q1" s="8"/>
      <c r="R1" s="8"/>
      <c r="S1" s="8"/>
      <c r="T1" s="8"/>
      <c r="U1" s="9"/>
      <c r="V1" s="10"/>
      <c r="W1" s="10"/>
      <c r="X1" s="10"/>
      <c r="Y1" s="10"/>
      <c r="Z1" s="10"/>
      <c r="AA1" s="1"/>
      <c r="AB1" s="1"/>
      <c r="AC1" s="1"/>
      <c r="AD1" s="1"/>
      <c r="AE1" s="1"/>
      <c r="AF1" s="1"/>
      <c r="AG1" s="1"/>
      <c r="AH1" s="1"/>
      <c r="AI1" s="1"/>
      <c r="AJ1" s="1"/>
      <c r="AK1" s="1"/>
      <c r="AL1" s="1"/>
      <c r="AM1" s="1"/>
      <c r="AN1" s="1"/>
      <c r="AO1" s="1"/>
      <c r="AP1" s="1"/>
      <c r="AQ1" s="1"/>
      <c r="AR1" s="1"/>
      <c r="AS1" s="1"/>
      <c r="AT1" s="1"/>
      <c r="AU1" s="1"/>
      <c r="AV1" s="1"/>
      <c r="AW1" s="1"/>
      <c r="AZ1" s="12" t="s">
        <v>4</v>
      </c>
      <c r="BA1" s="13"/>
      <c r="BB1" s="13"/>
      <c r="BC1" s="13"/>
      <c r="BD1" s="14"/>
      <c r="BF1" s="15"/>
      <c r="BG1" s="15"/>
      <c r="BH1" s="15"/>
      <c r="BI1" s="16"/>
      <c r="BJ1" s="16"/>
      <c r="BK1" s="16"/>
      <c r="BL1" s="16"/>
    </row>
    <row r="2" spans="1:64" ht="15" customHeight="1" x14ac:dyDescent="0.3">
      <c r="A2" s="1"/>
      <c r="B2" s="1"/>
      <c r="C2" s="1"/>
      <c r="D2" s="1"/>
      <c r="E2" s="1"/>
      <c r="F2" s="17" t="s">
        <v>5</v>
      </c>
      <c r="G2" s="18" t="s">
        <v>6</v>
      </c>
      <c r="H2" s="18"/>
      <c r="I2" s="18"/>
      <c r="J2" s="19" t="s">
        <v>7</v>
      </c>
      <c r="K2" s="20" t="s">
        <v>3</v>
      </c>
      <c r="L2" s="20"/>
      <c r="M2" s="20"/>
      <c r="N2" s="21"/>
      <c r="O2" s="8"/>
      <c r="P2" s="8"/>
      <c r="Q2" s="8"/>
      <c r="R2" s="8"/>
      <c r="S2" s="8"/>
      <c r="T2" s="8"/>
      <c r="U2" s="22"/>
      <c r="V2" s="10"/>
      <c r="W2" s="10"/>
      <c r="X2" s="10"/>
      <c r="Y2" s="10"/>
      <c r="Z2" s="10"/>
      <c r="AA2" s="1"/>
      <c r="AB2" s="1"/>
      <c r="AC2" s="1"/>
      <c r="AD2" s="1"/>
      <c r="AE2" s="1"/>
      <c r="AF2" s="1"/>
      <c r="AG2" s="1"/>
      <c r="AH2" s="1"/>
      <c r="AI2" s="1"/>
      <c r="AJ2" s="1"/>
      <c r="AK2" s="1"/>
      <c r="AL2" s="1"/>
      <c r="AM2" s="1"/>
      <c r="AN2" s="1"/>
      <c r="AO2" s="1"/>
      <c r="AP2" s="1"/>
      <c r="AQ2" s="1"/>
      <c r="AR2" s="1"/>
      <c r="AS2" s="1"/>
      <c r="AT2" s="1"/>
      <c r="AU2" s="1"/>
      <c r="AV2" s="1"/>
      <c r="AW2" s="1"/>
      <c r="BF2" s="15"/>
      <c r="BG2" s="15"/>
      <c r="BH2" s="15"/>
      <c r="BI2" s="16"/>
      <c r="BJ2" s="16"/>
      <c r="BK2" s="16"/>
      <c r="BL2" s="16"/>
    </row>
    <row r="3" spans="1:64" ht="15" customHeight="1" x14ac:dyDescent="0.25">
      <c r="A3" s="1"/>
      <c r="B3" s="1"/>
      <c r="C3" s="1"/>
      <c r="D3" s="1"/>
      <c r="E3" s="26">
        <f>HLOOKUP(H3,Q68:T69,O69,FALSE)</f>
        <v>3</v>
      </c>
      <c r="F3" s="27" t="s">
        <v>8</v>
      </c>
      <c r="G3" s="28" t="s">
        <v>9</v>
      </c>
      <c r="H3" s="29" t="s">
        <v>10</v>
      </c>
      <c r="I3" s="29"/>
      <c r="J3" s="30" t="s">
        <v>11</v>
      </c>
      <c r="K3" s="31" t="s">
        <v>3</v>
      </c>
      <c r="L3" s="31"/>
      <c r="M3" s="31"/>
      <c r="N3" s="32"/>
      <c r="O3" s="10"/>
      <c r="P3" s="10"/>
      <c r="Q3" s="10"/>
      <c r="R3" s="10"/>
      <c r="S3" s="10"/>
      <c r="T3" s="10"/>
      <c r="U3" s="1"/>
      <c r="V3" s="10"/>
      <c r="W3" s="10"/>
      <c r="X3" s="10"/>
      <c r="Y3" s="10"/>
      <c r="Z3" s="10"/>
      <c r="AA3" s="1"/>
      <c r="AB3" s="1"/>
      <c r="AC3" s="1"/>
      <c r="AD3" s="1"/>
      <c r="AE3" s="1"/>
      <c r="AF3" s="1"/>
      <c r="AG3" s="1"/>
      <c r="AH3" s="1"/>
      <c r="AI3" s="1"/>
      <c r="AJ3" s="1"/>
      <c r="AK3" s="1"/>
      <c r="AL3" s="1"/>
      <c r="AM3" s="1"/>
      <c r="AN3" s="1"/>
      <c r="AO3" s="1"/>
      <c r="AP3" s="1"/>
      <c r="AQ3" s="1"/>
      <c r="AR3" s="1"/>
      <c r="AS3" s="1"/>
      <c r="AT3" s="1"/>
      <c r="AU3" s="1"/>
      <c r="AV3" s="1"/>
      <c r="AW3" s="1"/>
      <c r="BF3" s="15"/>
      <c r="BG3" s="15"/>
      <c r="BH3" s="15"/>
      <c r="BI3" s="16"/>
      <c r="BJ3" s="16"/>
      <c r="BK3" s="16"/>
      <c r="BL3" s="16"/>
    </row>
    <row r="4" spans="1:64" ht="15" customHeight="1" x14ac:dyDescent="0.3">
      <c r="A4" s="1"/>
      <c r="B4" s="1"/>
      <c r="C4" s="1"/>
      <c r="F4" s="33"/>
      <c r="G4" s="33"/>
      <c r="H4" s="34"/>
      <c r="I4" s="34"/>
      <c r="J4" s="35"/>
      <c r="K4" s="35"/>
      <c r="L4" s="35"/>
      <c r="M4" s="35"/>
      <c r="N4" s="35"/>
      <c r="O4" s="8"/>
      <c r="P4" s="36" t="s">
        <v>12</v>
      </c>
      <c r="Q4" s="37"/>
      <c r="R4" s="37"/>
      <c r="S4" s="37"/>
      <c r="T4" s="38"/>
      <c r="U4" s="1"/>
      <c r="V4" s="39"/>
      <c r="W4" s="39"/>
      <c r="X4" s="39"/>
      <c r="Y4" s="39"/>
      <c r="Z4" s="39"/>
      <c r="AA4" s="1"/>
      <c r="AB4" s="1"/>
      <c r="AC4" s="1"/>
      <c r="AD4" s="1"/>
      <c r="AE4" s="1"/>
      <c r="AF4" s="1"/>
      <c r="AG4" s="1"/>
      <c r="AH4" s="1"/>
      <c r="AI4" s="1"/>
      <c r="AJ4" s="1"/>
      <c r="AK4" s="1"/>
      <c r="AL4" s="1"/>
      <c r="AM4" s="1"/>
      <c r="AN4" s="1"/>
      <c r="AO4" s="1"/>
      <c r="AP4" s="1"/>
      <c r="AQ4" s="1"/>
      <c r="AR4" s="1"/>
      <c r="AS4" s="1"/>
      <c r="AT4" s="1"/>
      <c r="AU4" s="1"/>
      <c r="AV4" s="1"/>
      <c r="AW4" s="1"/>
      <c r="BF4" s="15"/>
      <c r="BG4" s="15"/>
      <c r="BH4" s="15"/>
      <c r="BI4" s="16"/>
      <c r="BJ4" s="16"/>
      <c r="BK4" s="16"/>
      <c r="BL4" s="16"/>
    </row>
    <row r="5" spans="1:64" ht="15" customHeight="1" x14ac:dyDescent="0.3">
      <c r="A5" s="1"/>
      <c r="B5" s="1"/>
      <c r="D5" s="40"/>
      <c r="E5" s="26">
        <f>HLOOKUP(H5,U9:AT22,14,FALSE)</f>
        <v>12</v>
      </c>
      <c r="F5" s="41" t="s">
        <v>13</v>
      </c>
      <c r="G5" s="42"/>
      <c r="H5" s="43" t="s">
        <v>14</v>
      </c>
      <c r="I5" s="44"/>
      <c r="J5" s="45" t="str">
        <f>""&amp;P5&amp;""</f>
        <v>Proprietà del legno secondo la normativa europea UNI EN 14080 (lamellare), EN338 (massiccio), UNI EN 300 (OSB).</v>
      </c>
      <c r="K5" s="46"/>
      <c r="L5" s="46"/>
      <c r="M5" s="46"/>
      <c r="N5" s="47"/>
      <c r="O5" s="8"/>
      <c r="P5" s="48" t="s">
        <v>15</v>
      </c>
      <c r="Q5" s="49"/>
      <c r="R5" s="49"/>
      <c r="S5" s="49"/>
      <c r="T5" s="50"/>
      <c r="U5" s="1"/>
      <c r="V5" s="39"/>
      <c r="W5" s="39"/>
      <c r="X5" s="39"/>
      <c r="Y5" s="39"/>
      <c r="Z5" s="39"/>
      <c r="AA5" s="1"/>
      <c r="AB5" s="1"/>
      <c r="AC5" s="1"/>
      <c r="AD5" s="1"/>
      <c r="AE5" s="1"/>
      <c r="AF5" s="1"/>
      <c r="AG5" s="1"/>
      <c r="AH5" s="1"/>
      <c r="AI5" s="1"/>
      <c r="AJ5" s="1"/>
      <c r="AK5" s="1"/>
      <c r="AL5" s="1"/>
      <c r="AM5" s="1"/>
      <c r="AN5" s="1"/>
      <c r="AO5" s="1"/>
      <c r="AP5" s="1"/>
      <c r="AQ5" s="1"/>
      <c r="AR5" s="1"/>
      <c r="AS5" s="1"/>
      <c r="AT5" s="1"/>
      <c r="AU5" s="1"/>
      <c r="AV5" s="1"/>
      <c r="AW5" s="1"/>
      <c r="BF5" s="15"/>
      <c r="BG5" s="15"/>
      <c r="BH5" s="15"/>
      <c r="BI5" s="16"/>
      <c r="BJ5" s="16"/>
      <c r="BK5" s="16"/>
      <c r="BL5" s="16"/>
    </row>
    <row r="6" spans="1:64" ht="15" customHeight="1" x14ac:dyDescent="0.25">
      <c r="A6" s="1"/>
      <c r="B6" s="1"/>
      <c r="C6" s="1"/>
      <c r="F6" s="51" t="s">
        <v>16</v>
      </c>
      <c r="G6" s="52"/>
      <c r="H6" s="53" t="s">
        <v>17</v>
      </c>
      <c r="I6" s="54"/>
      <c r="J6" s="55"/>
      <c r="K6" s="56"/>
      <c r="L6" s="56"/>
      <c r="M6" s="56"/>
      <c r="N6" s="57"/>
      <c r="O6" s="58"/>
      <c r="P6" s="59"/>
      <c r="Q6" s="60"/>
      <c r="R6" s="60"/>
      <c r="S6" s="60"/>
      <c r="T6" s="61"/>
      <c r="U6" s="1"/>
      <c r="V6" s="39"/>
      <c r="W6" s="39"/>
      <c r="X6" s="39"/>
      <c r="Y6" s="39"/>
      <c r="Z6" s="39"/>
      <c r="AB6" s="1"/>
      <c r="AC6" s="1"/>
      <c r="AD6" s="1"/>
      <c r="AE6" s="1"/>
      <c r="AF6" s="1"/>
      <c r="AG6" s="1"/>
      <c r="AH6" s="1"/>
      <c r="AI6" s="1"/>
      <c r="AJ6" s="1"/>
      <c r="AK6" s="1"/>
      <c r="AL6" s="1"/>
      <c r="AM6" s="1"/>
      <c r="AN6" s="1"/>
      <c r="AO6" s="1"/>
      <c r="AP6" s="1"/>
      <c r="AQ6" s="1"/>
      <c r="AR6" s="62" t="s">
        <v>18</v>
      </c>
      <c r="AS6" s="1"/>
      <c r="AT6" s="1"/>
      <c r="AU6" s="1"/>
      <c r="AV6" s="1"/>
      <c r="AW6" s="1"/>
      <c r="BF6" s="15"/>
      <c r="BG6" s="15"/>
      <c r="BH6" s="15"/>
      <c r="BI6" s="16"/>
      <c r="BJ6" s="16"/>
      <c r="BK6" s="16"/>
      <c r="BL6" s="16"/>
    </row>
    <row r="7" spans="1:64" ht="15" customHeight="1" x14ac:dyDescent="0.25">
      <c r="A7" s="1"/>
      <c r="C7" s="1"/>
      <c r="D7" s="63" t="s">
        <v>19</v>
      </c>
      <c r="E7" s="64"/>
      <c r="F7" s="65" t="s">
        <v>20</v>
      </c>
      <c r="G7" s="42"/>
      <c r="H7" s="66"/>
      <c r="I7" s="67"/>
      <c r="J7" s="68" t="s">
        <v>21</v>
      </c>
      <c r="K7" s="69"/>
      <c r="L7" s="69"/>
      <c r="M7" s="69"/>
      <c r="N7" s="70"/>
      <c r="O7" s="71"/>
      <c r="P7" s="10"/>
      <c r="Q7" s="10"/>
      <c r="R7" s="10"/>
      <c r="S7" s="10"/>
      <c r="T7" s="10"/>
      <c r="U7" s="1"/>
      <c r="V7" s="10"/>
      <c r="W7" s="10"/>
      <c r="X7" s="10"/>
      <c r="Y7" s="10"/>
      <c r="Z7" s="10"/>
      <c r="AA7" s="1"/>
      <c r="AB7" s="1"/>
      <c r="AC7" s="1"/>
      <c r="AD7" s="1"/>
      <c r="AE7" s="1"/>
      <c r="AF7" s="1"/>
      <c r="AG7" s="1"/>
      <c r="AH7" s="1"/>
      <c r="AI7" s="1"/>
      <c r="AJ7" s="1"/>
      <c r="AK7" s="1"/>
      <c r="AL7" s="1"/>
      <c r="AM7" s="1"/>
      <c r="AN7" s="1"/>
      <c r="AO7" s="1"/>
      <c r="AP7" s="1"/>
      <c r="AQ7" s="1"/>
      <c r="AR7" s="1"/>
      <c r="AS7" s="1"/>
      <c r="AW7" s="1"/>
      <c r="BF7" s="15"/>
      <c r="BG7" s="15"/>
      <c r="BH7" s="15"/>
      <c r="BI7" s="16"/>
      <c r="BJ7" s="16"/>
      <c r="BK7" s="16"/>
      <c r="BL7" s="16"/>
    </row>
    <row r="8" spans="1:64" ht="15" customHeight="1" x14ac:dyDescent="0.25">
      <c r="A8" s="1"/>
      <c r="B8" s="1"/>
      <c r="C8" s="1"/>
      <c r="D8" s="72">
        <f>H8/H9</f>
        <v>1.3333333333333333</v>
      </c>
      <c r="E8" s="64"/>
      <c r="F8" s="68" t="s">
        <v>22</v>
      </c>
      <c r="G8" s="35"/>
      <c r="H8" s="73">
        <v>160</v>
      </c>
      <c r="I8" s="70" t="s">
        <v>23</v>
      </c>
      <c r="J8" s="74" t="s">
        <v>24</v>
      </c>
      <c r="K8" s="75"/>
      <c r="L8" s="76" t="s">
        <v>25</v>
      </c>
      <c r="M8" s="77">
        <f>INDEX(U11:AT11,$E$5)</f>
        <v>11500</v>
      </c>
      <c r="N8" s="78" t="s">
        <v>26</v>
      </c>
      <c r="O8" s="79"/>
      <c r="Q8" s="80"/>
      <c r="R8" s="80"/>
      <c r="S8" s="80"/>
      <c r="T8" s="80"/>
      <c r="U8" s="81" t="s">
        <v>27</v>
      </c>
      <c r="V8" s="82"/>
      <c r="W8" s="82"/>
      <c r="X8" s="82"/>
      <c r="Y8" s="82"/>
      <c r="Z8" s="82"/>
      <c r="AA8" s="82"/>
      <c r="AB8" s="82"/>
      <c r="AC8" s="83"/>
      <c r="AD8" s="81" t="s">
        <v>28</v>
      </c>
      <c r="AE8" s="82"/>
      <c r="AF8" s="82"/>
      <c r="AG8" s="82"/>
      <c r="AH8" s="82"/>
      <c r="AI8" s="82"/>
      <c r="AJ8" s="82"/>
      <c r="AK8" s="82"/>
      <c r="AL8" s="82"/>
      <c r="AM8" s="82"/>
      <c r="AN8" s="82"/>
      <c r="AO8" s="82"/>
      <c r="AP8" s="82"/>
      <c r="AQ8" s="83"/>
      <c r="AR8" s="81" t="s">
        <v>29</v>
      </c>
      <c r="AS8" s="83"/>
      <c r="AT8" s="84" t="s">
        <v>30</v>
      </c>
      <c r="BF8" s="15"/>
      <c r="BG8" s="15"/>
      <c r="BH8" s="15"/>
      <c r="BI8" s="16"/>
      <c r="BJ8" s="16"/>
      <c r="BK8" s="16"/>
      <c r="BL8" s="16"/>
    </row>
    <row r="9" spans="1:64" ht="13.5" x14ac:dyDescent="0.25">
      <c r="A9" s="1"/>
      <c r="B9" s="1"/>
      <c r="C9" s="1"/>
      <c r="D9" s="85"/>
      <c r="E9" s="85"/>
      <c r="F9" s="86" t="s">
        <v>31</v>
      </c>
      <c r="G9" s="35"/>
      <c r="H9" s="73">
        <v>120</v>
      </c>
      <c r="I9" s="70" t="s">
        <v>23</v>
      </c>
      <c r="J9" s="74" t="s">
        <v>32</v>
      </c>
      <c r="K9" s="75"/>
      <c r="L9" s="76" t="s">
        <v>33</v>
      </c>
      <c r="M9" s="87">
        <f>INDEX(U12:AT12,$E$5)</f>
        <v>9600</v>
      </c>
      <c r="N9" s="78" t="s">
        <v>26</v>
      </c>
      <c r="O9" s="88"/>
      <c r="P9" s="89"/>
      <c r="Q9" s="90"/>
      <c r="R9" s="90"/>
      <c r="S9" s="90"/>
      <c r="T9" s="91"/>
      <c r="U9" s="84" t="s">
        <v>34</v>
      </c>
      <c r="V9" s="84" t="s">
        <v>35</v>
      </c>
      <c r="W9" s="84" t="s">
        <v>36</v>
      </c>
      <c r="X9" s="84" t="s">
        <v>37</v>
      </c>
      <c r="Y9" s="84" t="s">
        <v>38</v>
      </c>
      <c r="Z9" s="84" t="s">
        <v>39</v>
      </c>
      <c r="AA9" s="84" t="s">
        <v>40</v>
      </c>
      <c r="AB9" s="84" t="s">
        <v>41</v>
      </c>
      <c r="AC9" s="84" t="s">
        <v>42</v>
      </c>
      <c r="AD9" s="84" t="s">
        <v>43</v>
      </c>
      <c r="AE9" s="84" t="s">
        <v>44</v>
      </c>
      <c r="AF9" s="84" t="s">
        <v>14</v>
      </c>
      <c r="AG9" s="84" t="s">
        <v>45</v>
      </c>
      <c r="AH9" s="84" t="s">
        <v>46</v>
      </c>
      <c r="AI9" s="84" t="s">
        <v>47</v>
      </c>
      <c r="AJ9" s="84" t="s">
        <v>48</v>
      </c>
      <c r="AK9" s="84" t="s">
        <v>49</v>
      </c>
      <c r="AL9" s="84" t="s">
        <v>50</v>
      </c>
      <c r="AM9" s="84" t="s">
        <v>51</v>
      </c>
      <c r="AN9" s="84" t="s">
        <v>52</v>
      </c>
      <c r="AO9" s="84" t="s">
        <v>53</v>
      </c>
      <c r="AP9" s="84" t="s">
        <v>54</v>
      </c>
      <c r="AQ9" s="84" t="s">
        <v>55</v>
      </c>
      <c r="AR9" s="84" t="s">
        <v>56</v>
      </c>
      <c r="AS9" s="84" t="s">
        <v>57</v>
      </c>
      <c r="AT9" s="501" t="s">
        <v>58</v>
      </c>
      <c r="AY9" s="39"/>
      <c r="BF9" s="15"/>
      <c r="BG9" s="15"/>
      <c r="BH9" s="15"/>
      <c r="BI9" s="16"/>
      <c r="BJ9" s="16"/>
      <c r="BK9" s="16"/>
      <c r="BL9" s="16"/>
    </row>
    <row r="10" spans="1:64" x14ac:dyDescent="0.5">
      <c r="A10" s="1"/>
      <c r="B10" s="1"/>
      <c r="C10" s="1"/>
      <c r="D10" s="92"/>
      <c r="E10" s="1"/>
      <c r="F10" s="93" t="s">
        <v>59</v>
      </c>
      <c r="G10" s="94"/>
      <c r="H10" s="95">
        <v>4.5</v>
      </c>
      <c r="I10" s="96" t="s">
        <v>60</v>
      </c>
      <c r="J10" s="74" t="s">
        <v>61</v>
      </c>
      <c r="K10" s="75"/>
      <c r="L10" s="76" t="s">
        <v>62</v>
      </c>
      <c r="M10" s="77">
        <f>INDEX(U13:AT13,$E$5)</f>
        <v>300</v>
      </c>
      <c r="N10" s="97" t="s">
        <v>26</v>
      </c>
      <c r="O10" s="22"/>
      <c r="P10" s="98" t="s">
        <v>63</v>
      </c>
      <c r="Q10" s="99"/>
      <c r="R10" s="99"/>
      <c r="S10" s="99"/>
      <c r="T10" s="100"/>
      <c r="U10" s="101"/>
      <c r="V10" s="101"/>
      <c r="W10" s="101"/>
      <c r="X10" s="101"/>
      <c r="Y10" s="101"/>
      <c r="Z10" s="101"/>
      <c r="AA10" s="101"/>
      <c r="AB10" s="101"/>
      <c r="AC10" s="101"/>
      <c r="AD10" s="101"/>
      <c r="AE10" s="101"/>
      <c r="AF10" s="101"/>
      <c r="AG10" s="101"/>
      <c r="AH10" s="101"/>
      <c r="AI10" s="101"/>
      <c r="AJ10" s="101"/>
      <c r="AK10" s="101"/>
      <c r="AL10" s="101"/>
      <c r="AM10" s="101"/>
      <c r="AN10" s="101"/>
      <c r="AO10" s="101"/>
      <c r="AP10" s="101"/>
      <c r="AQ10" s="101"/>
      <c r="AR10" s="101"/>
      <c r="AS10" s="101"/>
      <c r="AT10" s="101"/>
      <c r="AU10" s="102" t="s">
        <v>63</v>
      </c>
      <c r="AV10" s="103"/>
      <c r="AW10" s="103"/>
      <c r="AX10" s="104"/>
      <c r="BF10" s="15"/>
      <c r="BG10" s="15"/>
      <c r="BH10" s="15"/>
      <c r="BI10" s="16"/>
      <c r="BJ10" s="16"/>
      <c r="BK10" s="16"/>
      <c r="BL10" s="16"/>
    </row>
    <row r="11" spans="1:64" ht="15" customHeight="1" x14ac:dyDescent="0.25">
      <c r="A11" s="1"/>
      <c r="B11" s="1"/>
      <c r="C11" s="1"/>
      <c r="D11" s="1"/>
      <c r="E11" s="1"/>
      <c r="F11" s="86" t="s">
        <v>64</v>
      </c>
      <c r="G11" s="35"/>
      <c r="H11" s="105">
        <v>5</v>
      </c>
      <c r="I11" s="70" t="s">
        <v>65</v>
      </c>
      <c r="J11" s="74" t="s">
        <v>66</v>
      </c>
      <c r="K11" s="75"/>
      <c r="L11" s="76" t="s">
        <v>67</v>
      </c>
      <c r="M11" s="77">
        <f>INDEX(U14:AT14,$E$5)</f>
        <v>650</v>
      </c>
      <c r="N11" s="78" t="s">
        <v>26</v>
      </c>
      <c r="O11" s="88"/>
      <c r="P11" s="106" t="s">
        <v>24</v>
      </c>
      <c r="Q11" s="107"/>
      <c r="R11" s="108" t="s">
        <v>25</v>
      </c>
      <c r="S11" s="39"/>
      <c r="T11" s="109" t="s">
        <v>26</v>
      </c>
      <c r="U11" s="110">
        <v>9500</v>
      </c>
      <c r="V11" s="110">
        <v>10000</v>
      </c>
      <c r="W11" s="110">
        <v>11000</v>
      </c>
      <c r="X11" s="110">
        <v>11500</v>
      </c>
      <c r="Y11" s="110">
        <v>12000</v>
      </c>
      <c r="Z11" s="110">
        <v>9500</v>
      </c>
      <c r="AA11" s="110">
        <v>10000</v>
      </c>
      <c r="AB11" s="110">
        <v>10500</v>
      </c>
      <c r="AC11" s="110">
        <v>11000</v>
      </c>
      <c r="AD11" s="110">
        <v>8400</v>
      </c>
      <c r="AE11" s="110">
        <v>10500</v>
      </c>
      <c r="AF11" s="110">
        <v>11500</v>
      </c>
      <c r="AG11" s="110">
        <v>12100</v>
      </c>
      <c r="AH11" s="110">
        <v>12600</v>
      </c>
      <c r="AI11" s="110">
        <v>13600</v>
      </c>
      <c r="AJ11" s="110">
        <v>14200</v>
      </c>
      <c r="AK11" s="110">
        <v>10400</v>
      </c>
      <c r="AL11" s="110">
        <v>10400</v>
      </c>
      <c r="AM11" s="110">
        <v>11000</v>
      </c>
      <c r="AN11" s="110">
        <v>12000</v>
      </c>
      <c r="AO11" s="110">
        <v>12500</v>
      </c>
      <c r="AP11" s="110">
        <v>13000</v>
      </c>
      <c r="AQ11" s="110">
        <v>13500</v>
      </c>
      <c r="AR11" s="110">
        <v>3000</v>
      </c>
      <c r="AS11" s="110">
        <v>4300</v>
      </c>
      <c r="AT11" s="502">
        <v>8400</v>
      </c>
      <c r="AU11" s="106" t="s">
        <v>24</v>
      </c>
      <c r="AV11" s="107"/>
      <c r="AW11" s="108" t="s">
        <v>25</v>
      </c>
      <c r="AX11" s="109" t="s">
        <v>26</v>
      </c>
      <c r="BF11" s="15"/>
      <c r="BG11" s="15"/>
      <c r="BH11" s="15"/>
      <c r="BI11" s="16"/>
      <c r="BJ11" s="16"/>
      <c r="BK11" s="16"/>
      <c r="BL11" s="16"/>
    </row>
    <row r="12" spans="1:64" ht="15" customHeight="1" x14ac:dyDescent="0.25">
      <c r="A12" s="1"/>
      <c r="B12" s="1"/>
      <c r="C12" s="1"/>
      <c r="D12" s="1"/>
      <c r="E12" s="1"/>
      <c r="F12" s="86" t="s">
        <v>68</v>
      </c>
      <c r="G12" s="35"/>
      <c r="H12" s="111">
        <f>H11*H8*H9/1000000</f>
        <v>9.6000000000000002E-2</v>
      </c>
      <c r="I12" s="70" t="s">
        <v>69</v>
      </c>
      <c r="J12" s="68" t="s">
        <v>70</v>
      </c>
      <c r="K12" s="69"/>
      <c r="L12" s="69"/>
      <c r="M12" s="112"/>
      <c r="N12" s="70"/>
      <c r="O12" s="88"/>
      <c r="P12" s="106" t="s">
        <v>32</v>
      </c>
      <c r="Q12" s="107"/>
      <c r="R12" s="108" t="s">
        <v>33</v>
      </c>
      <c r="S12" s="39"/>
      <c r="T12" s="113" t="s">
        <v>26</v>
      </c>
      <c r="U12" s="110">
        <v>6400</v>
      </c>
      <c r="V12" s="110">
        <v>6700</v>
      </c>
      <c r="W12" s="110">
        <v>7400</v>
      </c>
      <c r="X12" s="110">
        <v>7700</v>
      </c>
      <c r="Y12" s="110">
        <v>8000</v>
      </c>
      <c r="Z12" s="110">
        <v>8000</v>
      </c>
      <c r="AA12" s="110">
        <v>8400</v>
      </c>
      <c r="AB12" s="110">
        <v>8800</v>
      </c>
      <c r="AC12" s="110">
        <v>9200</v>
      </c>
      <c r="AD12" s="110">
        <v>7000</v>
      </c>
      <c r="AE12" s="110">
        <v>8800</v>
      </c>
      <c r="AF12" s="110">
        <v>9600</v>
      </c>
      <c r="AG12" s="110">
        <v>10100</v>
      </c>
      <c r="AH12" s="110">
        <v>10500</v>
      </c>
      <c r="AI12" s="110">
        <v>11300</v>
      </c>
      <c r="AJ12" s="110">
        <v>11800</v>
      </c>
      <c r="AK12" s="110">
        <v>8600</v>
      </c>
      <c r="AL12" s="110">
        <v>8600</v>
      </c>
      <c r="AM12" s="110">
        <v>9100</v>
      </c>
      <c r="AN12" s="110">
        <v>10000</v>
      </c>
      <c r="AO12" s="110">
        <v>10400</v>
      </c>
      <c r="AP12" s="110">
        <v>10800</v>
      </c>
      <c r="AQ12" s="110">
        <v>11200</v>
      </c>
      <c r="AR12" s="110">
        <f>2/3*AR11</f>
        <v>2000</v>
      </c>
      <c r="AS12" s="110">
        <f>2/3*AS11</f>
        <v>2866.6666666666665</v>
      </c>
      <c r="AT12" s="502">
        <v>7000</v>
      </c>
      <c r="AU12" s="106" t="s">
        <v>32</v>
      </c>
      <c r="AV12" s="107"/>
      <c r="AW12" s="108" t="s">
        <v>33</v>
      </c>
      <c r="AX12" s="113" t="s">
        <v>26</v>
      </c>
      <c r="BF12" s="15"/>
      <c r="BG12" s="15"/>
      <c r="BH12" s="15"/>
      <c r="BI12" s="16"/>
      <c r="BJ12" s="16"/>
      <c r="BK12" s="16"/>
      <c r="BL12" s="16"/>
    </row>
    <row r="13" spans="1:64" ht="15" customHeight="1" x14ac:dyDescent="0.25">
      <c r="A13" s="1"/>
      <c r="B13" s="1"/>
      <c r="C13" s="1"/>
      <c r="D13" s="1"/>
      <c r="E13" s="1"/>
      <c r="F13" s="41" t="s">
        <v>71</v>
      </c>
      <c r="G13" s="42"/>
      <c r="H13" s="42"/>
      <c r="I13" s="114"/>
      <c r="J13" s="74" t="s">
        <v>72</v>
      </c>
      <c r="K13" s="75"/>
      <c r="L13" s="76" t="s">
        <v>73</v>
      </c>
      <c r="M13" s="115">
        <f t="shared" ref="M13:M18" si="0">INDEX(U16:AT16,$E$5)</f>
        <v>24</v>
      </c>
      <c r="N13" s="97" t="s">
        <v>26</v>
      </c>
      <c r="O13" s="79"/>
      <c r="P13" s="106" t="s">
        <v>61</v>
      </c>
      <c r="Q13" s="107"/>
      <c r="R13" s="108" t="s">
        <v>62</v>
      </c>
      <c r="S13" s="39"/>
      <c r="T13" s="109" t="s">
        <v>26</v>
      </c>
      <c r="U13" s="110">
        <v>320</v>
      </c>
      <c r="V13" s="110">
        <v>330</v>
      </c>
      <c r="W13" s="110">
        <v>370</v>
      </c>
      <c r="X13" s="110">
        <v>380</v>
      </c>
      <c r="Y13" s="110">
        <v>400</v>
      </c>
      <c r="Z13" s="110">
        <v>630</v>
      </c>
      <c r="AA13" s="110">
        <v>670</v>
      </c>
      <c r="AB13" s="110">
        <v>700</v>
      </c>
      <c r="AC13" s="110">
        <v>730</v>
      </c>
      <c r="AD13" s="110">
        <v>300</v>
      </c>
      <c r="AE13" s="110">
        <v>300</v>
      </c>
      <c r="AF13" s="110">
        <v>300</v>
      </c>
      <c r="AG13" s="110">
        <v>300</v>
      </c>
      <c r="AH13" s="110">
        <v>300</v>
      </c>
      <c r="AI13" s="110">
        <v>300</v>
      </c>
      <c r="AJ13" s="110">
        <v>300</v>
      </c>
      <c r="AK13" s="110">
        <v>300</v>
      </c>
      <c r="AL13" s="110">
        <v>300</v>
      </c>
      <c r="AM13" s="110">
        <v>300</v>
      </c>
      <c r="AN13" s="110">
        <v>300</v>
      </c>
      <c r="AO13" s="110">
        <v>300</v>
      </c>
      <c r="AP13" s="110">
        <v>300</v>
      </c>
      <c r="AQ13" s="110">
        <v>300</v>
      </c>
      <c r="AR13" s="110">
        <v>4930</v>
      </c>
      <c r="AS13" s="110">
        <v>4300</v>
      </c>
      <c r="AT13" s="502">
        <v>300</v>
      </c>
      <c r="AU13" s="106" t="s">
        <v>61</v>
      </c>
      <c r="AV13" s="107"/>
      <c r="AW13" s="108" t="s">
        <v>62</v>
      </c>
      <c r="AX13" s="109" t="s">
        <v>26</v>
      </c>
      <c r="BF13" s="15"/>
      <c r="BG13" s="15"/>
      <c r="BH13" s="15"/>
      <c r="BI13" s="16"/>
      <c r="BJ13" s="16"/>
      <c r="BK13" s="16"/>
      <c r="BL13" s="16"/>
    </row>
    <row r="14" spans="1:64" ht="15" customHeight="1" x14ac:dyDescent="0.25">
      <c r="A14" s="1"/>
      <c r="B14" s="1"/>
      <c r="C14" s="1"/>
      <c r="D14" s="1"/>
      <c r="E14" s="1"/>
      <c r="F14" s="86" t="s">
        <v>74</v>
      </c>
      <c r="G14" s="35"/>
      <c r="H14" s="111">
        <v>3</v>
      </c>
      <c r="I14" s="70" t="s">
        <v>60</v>
      </c>
      <c r="J14" s="74" t="s">
        <v>75</v>
      </c>
      <c r="K14" s="75"/>
      <c r="L14" s="76" t="s">
        <v>76</v>
      </c>
      <c r="M14" s="115">
        <f t="shared" si="0"/>
        <v>19.2</v>
      </c>
      <c r="N14" s="78" t="s">
        <v>26</v>
      </c>
      <c r="O14" s="88"/>
      <c r="P14" s="106" t="s">
        <v>66</v>
      </c>
      <c r="Q14" s="107"/>
      <c r="R14" s="108" t="s">
        <v>67</v>
      </c>
      <c r="S14" s="39"/>
      <c r="T14" s="116" t="s">
        <v>26</v>
      </c>
      <c r="U14" s="117">
        <v>590</v>
      </c>
      <c r="V14" s="117">
        <v>630</v>
      </c>
      <c r="W14" s="117">
        <v>690</v>
      </c>
      <c r="X14" s="117">
        <v>720</v>
      </c>
      <c r="Y14" s="117">
        <v>750</v>
      </c>
      <c r="Z14" s="117">
        <v>590</v>
      </c>
      <c r="AA14" s="117">
        <v>630</v>
      </c>
      <c r="AB14" s="117">
        <v>660</v>
      </c>
      <c r="AC14" s="117">
        <v>690</v>
      </c>
      <c r="AD14" s="117">
        <v>650</v>
      </c>
      <c r="AE14" s="117">
        <v>650</v>
      </c>
      <c r="AF14" s="117">
        <v>650</v>
      </c>
      <c r="AG14" s="117">
        <v>650</v>
      </c>
      <c r="AH14" s="117">
        <v>650</v>
      </c>
      <c r="AI14" s="117">
        <v>650</v>
      </c>
      <c r="AJ14" s="117">
        <v>650</v>
      </c>
      <c r="AK14" s="117">
        <v>650</v>
      </c>
      <c r="AL14" s="117">
        <v>650</v>
      </c>
      <c r="AM14" s="117">
        <v>650</v>
      </c>
      <c r="AN14" s="117">
        <v>650</v>
      </c>
      <c r="AO14" s="117">
        <v>650</v>
      </c>
      <c r="AP14" s="117">
        <v>650</v>
      </c>
      <c r="AQ14" s="117">
        <v>650</v>
      </c>
      <c r="AR14" s="117">
        <v>1080</v>
      </c>
      <c r="AS14" s="117">
        <v>1090</v>
      </c>
      <c r="AT14" s="503">
        <v>650</v>
      </c>
      <c r="AU14" s="106" t="s">
        <v>66</v>
      </c>
      <c r="AV14" s="107"/>
      <c r="AW14" s="108" t="s">
        <v>67</v>
      </c>
      <c r="AX14" s="116" t="s">
        <v>26</v>
      </c>
      <c r="BF14" s="15"/>
      <c r="BG14" s="15"/>
      <c r="BH14" s="15"/>
      <c r="BI14" s="16"/>
      <c r="BJ14" s="16"/>
      <c r="BK14" s="16"/>
      <c r="BL14" s="16"/>
    </row>
    <row r="15" spans="1:64" ht="15" customHeight="1" x14ac:dyDescent="0.3">
      <c r="A15" s="1"/>
      <c r="B15" s="1"/>
      <c r="C15" s="1"/>
      <c r="D15" s="1"/>
      <c r="E15" s="1"/>
      <c r="F15" s="86" t="s">
        <v>77</v>
      </c>
      <c r="G15" s="35"/>
      <c r="H15" s="111">
        <v>0</v>
      </c>
      <c r="I15" s="70" t="s">
        <v>78</v>
      </c>
      <c r="J15" s="74" t="s">
        <v>79</v>
      </c>
      <c r="K15" s="75"/>
      <c r="L15" s="76" t="s">
        <v>80</v>
      </c>
      <c r="M15" s="115">
        <f t="shared" si="0"/>
        <v>0.5</v>
      </c>
      <c r="N15" s="78" t="s">
        <v>26</v>
      </c>
      <c r="O15" s="22"/>
      <c r="P15" s="102" t="s">
        <v>70</v>
      </c>
      <c r="Q15" s="103"/>
      <c r="R15" s="103"/>
      <c r="S15" s="103"/>
      <c r="T15" s="104"/>
      <c r="U15" s="118"/>
      <c r="V15" s="118"/>
      <c r="W15" s="118"/>
      <c r="X15" s="118"/>
      <c r="Y15" s="118"/>
      <c r="Z15" s="118"/>
      <c r="AA15" s="118"/>
      <c r="AB15" s="118"/>
      <c r="AC15" s="118"/>
      <c r="AD15" s="118"/>
      <c r="AE15" s="118"/>
      <c r="AF15" s="118"/>
      <c r="AG15" s="118"/>
      <c r="AH15" s="118"/>
      <c r="AI15" s="118"/>
      <c r="AJ15" s="118"/>
      <c r="AK15" s="118"/>
      <c r="AL15" s="118"/>
      <c r="AM15" s="118"/>
      <c r="AN15" s="118"/>
      <c r="AO15" s="118"/>
      <c r="AP15" s="118"/>
      <c r="AQ15" s="118"/>
      <c r="AR15" s="118"/>
      <c r="AS15" s="118"/>
      <c r="AT15" s="119"/>
      <c r="AU15" s="102" t="s">
        <v>70</v>
      </c>
      <c r="AV15" s="103"/>
      <c r="AW15" s="103"/>
      <c r="AX15" s="104"/>
      <c r="BF15" s="15"/>
      <c r="BG15" s="15"/>
      <c r="BH15" s="15"/>
      <c r="BI15" s="16"/>
      <c r="BJ15" s="16"/>
      <c r="BK15" s="16"/>
      <c r="BL15" s="16"/>
    </row>
    <row r="16" spans="1:64" ht="15" customHeight="1" x14ac:dyDescent="0.25">
      <c r="A16" s="1"/>
      <c r="B16" s="1"/>
      <c r="C16" s="1"/>
      <c r="D16" s="1"/>
      <c r="E16" s="1"/>
      <c r="F16" s="86" t="s">
        <v>81</v>
      </c>
      <c r="G16" s="35"/>
      <c r="H16" s="111">
        <v>0</v>
      </c>
      <c r="I16" s="70" t="s">
        <v>78</v>
      </c>
      <c r="J16" s="75" t="s">
        <v>82</v>
      </c>
      <c r="K16" s="75"/>
      <c r="L16" s="76" t="s">
        <v>83</v>
      </c>
      <c r="M16" s="115">
        <f t="shared" si="0"/>
        <v>24</v>
      </c>
      <c r="N16" s="97" t="s">
        <v>26</v>
      </c>
      <c r="O16" s="88"/>
      <c r="P16" s="120" t="s">
        <v>72</v>
      </c>
      <c r="Q16" s="121"/>
      <c r="R16" s="108" t="s">
        <v>73</v>
      </c>
      <c r="S16" s="39"/>
      <c r="T16" s="109" t="s">
        <v>26</v>
      </c>
      <c r="U16" s="122">
        <v>20</v>
      </c>
      <c r="V16" s="122">
        <v>22</v>
      </c>
      <c r="W16" s="122">
        <v>24</v>
      </c>
      <c r="X16" s="122">
        <v>27</v>
      </c>
      <c r="Y16" s="122">
        <v>30</v>
      </c>
      <c r="Z16" s="122">
        <v>18</v>
      </c>
      <c r="AA16" s="122">
        <v>24</v>
      </c>
      <c r="AB16" s="122">
        <v>27</v>
      </c>
      <c r="AC16" s="122">
        <v>30</v>
      </c>
      <c r="AD16" s="122">
        <v>20</v>
      </c>
      <c r="AE16" s="122">
        <v>22</v>
      </c>
      <c r="AF16" s="122">
        <v>24</v>
      </c>
      <c r="AG16" s="122">
        <v>26</v>
      </c>
      <c r="AH16" s="122">
        <v>28</v>
      </c>
      <c r="AI16" s="122">
        <v>30</v>
      </c>
      <c r="AJ16" s="122">
        <v>32</v>
      </c>
      <c r="AK16" s="122">
        <v>20</v>
      </c>
      <c r="AL16" s="122">
        <v>22</v>
      </c>
      <c r="AM16" s="122">
        <v>24</v>
      </c>
      <c r="AN16" s="122">
        <v>26</v>
      </c>
      <c r="AO16" s="122">
        <v>28</v>
      </c>
      <c r="AP16" s="122">
        <v>30</v>
      </c>
      <c r="AQ16" s="122">
        <v>32</v>
      </c>
      <c r="AR16" s="122">
        <v>7.4</v>
      </c>
      <c r="AS16" s="122">
        <v>11.4</v>
      </c>
      <c r="AT16" s="504">
        <v>20</v>
      </c>
      <c r="AU16" s="120" t="s">
        <v>72</v>
      </c>
      <c r="AV16" s="121"/>
      <c r="AW16" s="108" t="s">
        <v>73</v>
      </c>
      <c r="AX16" s="109" t="s">
        <v>26</v>
      </c>
      <c r="BF16" s="15"/>
      <c r="BG16" s="15"/>
      <c r="BH16" s="15"/>
      <c r="BI16" s="16"/>
      <c r="BJ16" s="16"/>
      <c r="BK16" s="16"/>
      <c r="BL16" s="16"/>
    </row>
    <row r="17" spans="1:64" ht="15" customHeight="1" x14ac:dyDescent="0.25">
      <c r="A17" s="1"/>
      <c r="B17" s="1"/>
      <c r="C17" s="1"/>
      <c r="D17" s="123"/>
      <c r="E17" s="1"/>
      <c r="F17" s="86" t="s">
        <v>84</v>
      </c>
      <c r="G17" s="35"/>
      <c r="H17" s="111">
        <v>0</v>
      </c>
      <c r="I17" s="70" t="s">
        <v>78</v>
      </c>
      <c r="J17" s="75" t="s">
        <v>85</v>
      </c>
      <c r="K17" s="75"/>
      <c r="L17" s="76" t="s">
        <v>86</v>
      </c>
      <c r="M17" s="115">
        <f t="shared" si="0"/>
        <v>2.5</v>
      </c>
      <c r="N17" s="78" t="s">
        <v>26</v>
      </c>
      <c r="O17" s="88"/>
      <c r="P17" s="120" t="s">
        <v>75</v>
      </c>
      <c r="Q17" s="121"/>
      <c r="R17" s="108" t="s">
        <v>76</v>
      </c>
      <c r="S17" s="39"/>
      <c r="T17" s="113" t="s">
        <v>26</v>
      </c>
      <c r="U17" s="122">
        <v>11.5</v>
      </c>
      <c r="V17" s="122">
        <v>13</v>
      </c>
      <c r="W17" s="122">
        <v>14.5</v>
      </c>
      <c r="X17" s="122">
        <v>16.5</v>
      </c>
      <c r="Y17" s="122">
        <v>19</v>
      </c>
      <c r="Z17" s="122">
        <v>11</v>
      </c>
      <c r="AA17" s="122">
        <v>14</v>
      </c>
      <c r="AB17" s="122">
        <v>16</v>
      </c>
      <c r="AC17" s="122">
        <v>18</v>
      </c>
      <c r="AD17" s="122">
        <v>16</v>
      </c>
      <c r="AE17" s="122">
        <v>17.600000000000001</v>
      </c>
      <c r="AF17" s="122">
        <v>19.2</v>
      </c>
      <c r="AG17" s="122">
        <v>20.8</v>
      </c>
      <c r="AH17" s="122">
        <v>22.3</v>
      </c>
      <c r="AI17" s="122">
        <v>24</v>
      </c>
      <c r="AJ17" s="122">
        <v>25.6</v>
      </c>
      <c r="AK17" s="122">
        <v>15</v>
      </c>
      <c r="AL17" s="122">
        <v>16</v>
      </c>
      <c r="AM17" s="122">
        <v>17</v>
      </c>
      <c r="AN17" s="122">
        <v>19</v>
      </c>
      <c r="AO17" s="122">
        <v>19.5</v>
      </c>
      <c r="AP17" s="122">
        <v>19.5</v>
      </c>
      <c r="AQ17" s="122">
        <v>19.5</v>
      </c>
      <c r="AR17" s="122">
        <v>6.8</v>
      </c>
      <c r="AS17" s="122">
        <v>8</v>
      </c>
      <c r="AT17" s="504">
        <v>16</v>
      </c>
      <c r="AU17" s="120" t="s">
        <v>75</v>
      </c>
      <c r="AV17" s="121"/>
      <c r="AW17" s="108" t="s">
        <v>76</v>
      </c>
      <c r="AX17" s="113" t="s">
        <v>26</v>
      </c>
      <c r="BF17" s="15"/>
      <c r="BG17" s="15"/>
      <c r="BH17" s="15"/>
      <c r="BI17" s="16"/>
      <c r="BJ17" s="16"/>
      <c r="BK17" s="16"/>
      <c r="BL17" s="16"/>
    </row>
    <row r="18" spans="1:64" ht="15" customHeight="1" x14ac:dyDescent="0.25">
      <c r="A18" s="1"/>
      <c r="B18" s="1"/>
      <c r="C18" s="1"/>
      <c r="D18" s="1"/>
      <c r="E18" s="1"/>
      <c r="F18" s="41" t="s">
        <v>87</v>
      </c>
      <c r="G18" s="42"/>
      <c r="H18" s="42"/>
      <c r="I18" s="114"/>
      <c r="J18" s="75" t="s">
        <v>88</v>
      </c>
      <c r="K18" s="75"/>
      <c r="L18" s="76" t="s">
        <v>89</v>
      </c>
      <c r="M18" s="115">
        <f t="shared" si="0"/>
        <v>3.5</v>
      </c>
      <c r="N18" s="78" t="s">
        <v>26</v>
      </c>
      <c r="O18" s="22"/>
      <c r="P18" s="120" t="s">
        <v>79</v>
      </c>
      <c r="Q18" s="121"/>
      <c r="R18" s="108" t="s">
        <v>80</v>
      </c>
      <c r="S18" s="39"/>
      <c r="T18" s="109" t="s">
        <v>26</v>
      </c>
      <c r="U18" s="122">
        <v>0.4</v>
      </c>
      <c r="V18" s="122">
        <v>0.4</v>
      </c>
      <c r="W18" s="122">
        <v>0.4</v>
      </c>
      <c r="X18" s="122">
        <v>0.4</v>
      </c>
      <c r="Y18" s="122">
        <v>0.4</v>
      </c>
      <c r="Z18" s="122">
        <v>0.6</v>
      </c>
      <c r="AA18" s="122">
        <v>0.6</v>
      </c>
      <c r="AB18" s="122">
        <v>0.6</v>
      </c>
      <c r="AC18" s="122">
        <v>0.6</v>
      </c>
      <c r="AD18" s="122">
        <v>0.5</v>
      </c>
      <c r="AE18" s="122">
        <v>0.5</v>
      </c>
      <c r="AF18" s="122">
        <v>0.5</v>
      </c>
      <c r="AG18" s="122">
        <v>0.5</v>
      </c>
      <c r="AH18" s="122">
        <v>0.5</v>
      </c>
      <c r="AI18" s="122">
        <v>0.5</v>
      </c>
      <c r="AJ18" s="122">
        <v>0.5</v>
      </c>
      <c r="AK18" s="122">
        <v>0.5</v>
      </c>
      <c r="AL18" s="122">
        <v>0.5</v>
      </c>
      <c r="AM18" s="122">
        <v>0.5</v>
      </c>
      <c r="AN18" s="122">
        <v>0.5</v>
      </c>
      <c r="AO18" s="122">
        <v>0.5</v>
      </c>
      <c r="AP18" s="122">
        <v>0.5</v>
      </c>
      <c r="AQ18" s="122">
        <v>0.5</v>
      </c>
      <c r="AR18" s="122">
        <v>9</v>
      </c>
      <c r="AS18" s="122">
        <v>10.9</v>
      </c>
      <c r="AT18" s="504">
        <v>0.5</v>
      </c>
      <c r="AU18" s="120" t="s">
        <v>79</v>
      </c>
      <c r="AV18" s="121"/>
      <c r="AW18" s="108" t="s">
        <v>80</v>
      </c>
      <c r="AX18" s="109" t="s">
        <v>26</v>
      </c>
      <c r="BF18" s="15"/>
      <c r="BG18" s="15"/>
      <c r="BH18" s="15"/>
      <c r="BI18" s="16"/>
      <c r="BJ18" s="16"/>
      <c r="BK18" s="16"/>
      <c r="BL18" s="16"/>
    </row>
    <row r="19" spans="1:64" ht="15" customHeight="1" x14ac:dyDescent="0.35">
      <c r="A19" s="1"/>
      <c r="B19" s="1"/>
      <c r="C19" s="1"/>
      <c r="D19" s="1" t="s">
        <v>90</v>
      </c>
      <c r="E19" s="1"/>
      <c r="F19" s="124" t="s">
        <v>91</v>
      </c>
      <c r="G19" s="35"/>
      <c r="H19" s="125">
        <v>0</v>
      </c>
      <c r="I19" s="126" t="s">
        <v>92</v>
      </c>
      <c r="J19" s="41" t="s">
        <v>93</v>
      </c>
      <c r="K19" s="127"/>
      <c r="L19" s="128"/>
      <c r="M19" s="129"/>
      <c r="N19" s="130"/>
      <c r="O19" s="88"/>
      <c r="P19" s="120" t="s">
        <v>82</v>
      </c>
      <c r="Q19" s="121"/>
      <c r="R19" s="108" t="s">
        <v>83</v>
      </c>
      <c r="S19" s="39"/>
      <c r="T19" s="109" t="s">
        <v>26</v>
      </c>
      <c r="U19" s="122">
        <v>19</v>
      </c>
      <c r="V19" s="122">
        <v>20</v>
      </c>
      <c r="W19" s="122">
        <v>21</v>
      </c>
      <c r="X19" s="122">
        <v>22</v>
      </c>
      <c r="Y19" s="122">
        <v>24</v>
      </c>
      <c r="Z19" s="122">
        <v>18</v>
      </c>
      <c r="AA19" s="122">
        <v>21</v>
      </c>
      <c r="AB19" s="122">
        <v>22</v>
      </c>
      <c r="AC19" s="122">
        <v>24</v>
      </c>
      <c r="AD19" s="122">
        <v>20</v>
      </c>
      <c r="AE19" s="122">
        <v>22</v>
      </c>
      <c r="AF19" s="122">
        <v>24</v>
      </c>
      <c r="AG19" s="122">
        <v>26</v>
      </c>
      <c r="AH19" s="122">
        <v>28</v>
      </c>
      <c r="AI19" s="122">
        <v>30</v>
      </c>
      <c r="AJ19" s="122">
        <v>32</v>
      </c>
      <c r="AK19" s="122">
        <v>18.5</v>
      </c>
      <c r="AL19" s="122">
        <v>20</v>
      </c>
      <c r="AM19" s="122">
        <v>21.5</v>
      </c>
      <c r="AN19" s="122">
        <v>23.5</v>
      </c>
      <c r="AO19" s="122">
        <v>24</v>
      </c>
      <c r="AP19" s="122">
        <v>24.5</v>
      </c>
      <c r="AQ19" s="122">
        <v>24.5</v>
      </c>
      <c r="AR19" s="122">
        <v>12.4</v>
      </c>
      <c r="AS19" s="122">
        <v>13.7</v>
      </c>
      <c r="AT19" s="504">
        <v>20</v>
      </c>
      <c r="AU19" s="120" t="s">
        <v>82</v>
      </c>
      <c r="AV19" s="121"/>
      <c r="AW19" s="108" t="s">
        <v>83</v>
      </c>
      <c r="AX19" s="109" t="s">
        <v>26</v>
      </c>
      <c r="BF19" s="15"/>
      <c r="BG19" s="15"/>
      <c r="BH19" s="15"/>
      <c r="BI19" s="16"/>
      <c r="BJ19" s="16"/>
      <c r="BK19" s="16"/>
      <c r="BL19" s="16"/>
    </row>
    <row r="20" spans="1:64" ht="15" customHeight="1" x14ac:dyDescent="0.35">
      <c r="A20" s="1"/>
      <c r="B20" s="1"/>
      <c r="C20" s="1"/>
      <c r="F20" s="124" t="s">
        <v>94</v>
      </c>
      <c r="G20" s="35"/>
      <c r="H20" s="125">
        <v>0</v>
      </c>
      <c r="I20" s="126" t="s">
        <v>92</v>
      </c>
      <c r="J20" s="131" t="s">
        <v>95</v>
      </c>
      <c r="K20" s="132">
        <v>4.5</v>
      </c>
      <c r="L20" s="75" t="s">
        <v>60</v>
      </c>
      <c r="M20" s="35"/>
      <c r="N20" s="133"/>
      <c r="O20" s="10"/>
      <c r="P20" s="120" t="s">
        <v>85</v>
      </c>
      <c r="Q20" s="121"/>
      <c r="R20" s="108" t="s">
        <v>86</v>
      </c>
      <c r="S20" s="39"/>
      <c r="T20" s="113" t="s">
        <v>26</v>
      </c>
      <c r="U20" s="122">
        <v>2.2999999999999998</v>
      </c>
      <c r="V20" s="122">
        <v>2.4</v>
      </c>
      <c r="W20" s="122">
        <v>2.5</v>
      </c>
      <c r="X20" s="122">
        <v>2.6</v>
      </c>
      <c r="Y20" s="122">
        <v>2.7</v>
      </c>
      <c r="Z20" s="122">
        <v>4.8</v>
      </c>
      <c r="AA20" s="122">
        <v>4.9000000000000004</v>
      </c>
      <c r="AB20" s="122">
        <v>5.0999999999999996</v>
      </c>
      <c r="AC20" s="122">
        <v>5.3</v>
      </c>
      <c r="AD20" s="122">
        <v>2.5</v>
      </c>
      <c r="AE20" s="122">
        <v>2.5</v>
      </c>
      <c r="AF20" s="122">
        <v>2.5</v>
      </c>
      <c r="AG20" s="122">
        <v>2.5</v>
      </c>
      <c r="AH20" s="122">
        <v>2.5</v>
      </c>
      <c r="AI20" s="122">
        <v>2.5</v>
      </c>
      <c r="AJ20" s="122">
        <v>2.5</v>
      </c>
      <c r="AK20" s="122">
        <v>2.5</v>
      </c>
      <c r="AL20" s="122">
        <v>2.5</v>
      </c>
      <c r="AM20" s="122">
        <v>2.5</v>
      </c>
      <c r="AN20" s="122">
        <v>2.5</v>
      </c>
      <c r="AO20" s="122">
        <v>2.5</v>
      </c>
      <c r="AP20" s="122">
        <v>2.5</v>
      </c>
      <c r="AQ20" s="122">
        <v>2.5</v>
      </c>
      <c r="AR20" s="122">
        <v>14.8</v>
      </c>
      <c r="AS20" s="122">
        <v>17</v>
      </c>
      <c r="AT20" s="504">
        <v>2.5</v>
      </c>
      <c r="AU20" s="120" t="s">
        <v>85</v>
      </c>
      <c r="AV20" s="121"/>
      <c r="AW20" s="108" t="s">
        <v>86</v>
      </c>
      <c r="AX20" s="113" t="s">
        <v>26</v>
      </c>
      <c r="BF20" s="15"/>
      <c r="BG20" s="15"/>
      <c r="BH20" s="15"/>
      <c r="BI20" s="16"/>
      <c r="BJ20" s="16"/>
      <c r="BK20" s="16"/>
      <c r="BL20" s="16"/>
    </row>
    <row r="21" spans="1:64" ht="15" customHeight="1" x14ac:dyDescent="0.35">
      <c r="A21" s="1"/>
      <c r="B21" s="1"/>
      <c r="C21" s="1"/>
      <c r="F21" s="134" t="s">
        <v>96</v>
      </c>
      <c r="G21" s="52"/>
      <c r="H21" s="132">
        <v>0</v>
      </c>
      <c r="I21" s="135" t="s">
        <v>92</v>
      </c>
      <c r="J21" s="136" t="s">
        <v>97</v>
      </c>
      <c r="K21" s="137"/>
      <c r="L21" s="138"/>
      <c r="M21" s="139">
        <f>(H15*H14+H12)</f>
        <v>9.6000000000000002E-2</v>
      </c>
      <c r="N21" s="140" t="s">
        <v>69</v>
      </c>
      <c r="O21" s="71"/>
      <c r="P21" s="141" t="s">
        <v>98</v>
      </c>
      <c r="Q21" s="142"/>
      <c r="R21" s="143" t="s">
        <v>89</v>
      </c>
      <c r="S21" s="144"/>
      <c r="T21" s="116" t="s">
        <v>26</v>
      </c>
      <c r="U21" s="122">
        <v>3.6</v>
      </c>
      <c r="V21" s="122">
        <v>3.8</v>
      </c>
      <c r="W21" s="122">
        <v>4</v>
      </c>
      <c r="X21" s="122">
        <v>4</v>
      </c>
      <c r="Y21" s="122">
        <v>4</v>
      </c>
      <c r="Z21" s="122">
        <v>3.5</v>
      </c>
      <c r="AA21" s="122">
        <v>3.7</v>
      </c>
      <c r="AB21" s="122">
        <v>3.8</v>
      </c>
      <c r="AC21" s="122">
        <v>3.9</v>
      </c>
      <c r="AD21" s="122">
        <v>3.5</v>
      </c>
      <c r="AE21" s="122">
        <v>3.5</v>
      </c>
      <c r="AF21" s="122">
        <v>3.5</v>
      </c>
      <c r="AG21" s="122">
        <v>3.5</v>
      </c>
      <c r="AH21" s="122">
        <v>3.5</v>
      </c>
      <c r="AI21" s="122">
        <v>3.5</v>
      </c>
      <c r="AJ21" s="122">
        <v>3.5</v>
      </c>
      <c r="AK21" s="122">
        <v>3.5</v>
      </c>
      <c r="AL21" s="122">
        <v>3.5</v>
      </c>
      <c r="AM21" s="122">
        <v>3.5</v>
      </c>
      <c r="AN21" s="122">
        <v>3.5</v>
      </c>
      <c r="AO21" s="122">
        <v>3.5</v>
      </c>
      <c r="AP21" s="122">
        <v>3.5</v>
      </c>
      <c r="AQ21" s="122">
        <v>3.5</v>
      </c>
      <c r="AR21" s="122">
        <v>6.8</v>
      </c>
      <c r="AS21" s="122">
        <v>6.9</v>
      </c>
      <c r="AT21" s="504">
        <v>3.5</v>
      </c>
      <c r="AU21" s="141" t="s">
        <v>98</v>
      </c>
      <c r="AV21" s="142"/>
      <c r="AW21" s="143" t="s">
        <v>89</v>
      </c>
      <c r="AX21" s="116" t="s">
        <v>26</v>
      </c>
      <c r="BF21" s="15"/>
      <c r="BG21" s="15"/>
      <c r="BH21" s="15"/>
      <c r="BI21" s="16"/>
      <c r="BJ21" s="16"/>
      <c r="BK21" s="16"/>
      <c r="BL21" s="16"/>
    </row>
    <row r="22" spans="1:64" ht="15" customHeight="1" x14ac:dyDescent="0.25">
      <c r="A22" s="1"/>
      <c r="B22" s="1"/>
      <c r="C22" s="1"/>
      <c r="D22" s="108" t="s">
        <v>99</v>
      </c>
      <c r="E22" s="145">
        <f>VLOOKUP(H23,P50:X63,9,FALSE)</f>
        <v>13</v>
      </c>
      <c r="F22" s="68" t="s">
        <v>100</v>
      </c>
      <c r="G22" s="146"/>
      <c r="H22" s="147">
        <v>1</v>
      </c>
      <c r="I22" s="35"/>
      <c r="J22" s="148" t="s">
        <v>101</v>
      </c>
      <c r="K22" s="35"/>
      <c r="L22" s="35"/>
      <c r="M22" s="149">
        <f>(H16*H14)</f>
        <v>0</v>
      </c>
      <c r="N22" s="78" t="s">
        <v>69</v>
      </c>
      <c r="O22" s="79"/>
      <c r="U22" s="150">
        <v>1</v>
      </c>
      <c r="V22" s="151">
        <v>2</v>
      </c>
      <c r="W22" s="151">
        <v>3</v>
      </c>
      <c r="X22" s="151">
        <v>4</v>
      </c>
      <c r="Y22" s="151">
        <v>5</v>
      </c>
      <c r="Z22" s="151">
        <v>6</v>
      </c>
      <c r="AA22" s="151">
        <v>7</v>
      </c>
      <c r="AB22" s="151">
        <v>8</v>
      </c>
      <c r="AC22" s="151">
        <v>9</v>
      </c>
      <c r="AD22" s="151">
        <v>10</v>
      </c>
      <c r="AE22" s="151">
        <v>11</v>
      </c>
      <c r="AF22" s="151">
        <v>12</v>
      </c>
      <c r="AG22" s="151">
        <v>13</v>
      </c>
      <c r="AH22" s="151">
        <v>14</v>
      </c>
      <c r="AI22" s="151">
        <v>15</v>
      </c>
      <c r="AJ22" s="151">
        <v>16</v>
      </c>
      <c r="AK22" s="151">
        <v>17</v>
      </c>
      <c r="AL22" s="151">
        <v>18</v>
      </c>
      <c r="AM22" s="151">
        <v>19</v>
      </c>
      <c r="AN22" s="151">
        <v>20</v>
      </c>
      <c r="AO22" s="151">
        <v>21</v>
      </c>
      <c r="AP22" s="151">
        <v>22</v>
      </c>
      <c r="AQ22" s="151">
        <v>23</v>
      </c>
      <c r="AR22" s="151">
        <v>24</v>
      </c>
      <c r="AS22" s="151">
        <v>25</v>
      </c>
      <c r="AT22" s="152">
        <v>26</v>
      </c>
      <c r="BF22" s="15"/>
      <c r="BG22" s="15"/>
      <c r="BH22" s="15"/>
      <c r="BI22" s="16"/>
      <c r="BJ22" s="16"/>
      <c r="BK22" s="16"/>
      <c r="BL22" s="16"/>
    </row>
    <row r="23" spans="1:64" ht="15" customHeight="1" x14ac:dyDescent="0.35">
      <c r="A23" s="1"/>
      <c r="D23" s="108" t="s">
        <v>102</v>
      </c>
      <c r="E23" s="153">
        <f>INDEX(V50:V63,$E$22)</f>
        <v>3</v>
      </c>
      <c r="F23" s="86" t="s">
        <v>103</v>
      </c>
      <c r="G23" s="154"/>
      <c r="H23" s="155" t="s">
        <v>104</v>
      </c>
      <c r="I23" s="156"/>
      <c r="J23" s="157" t="s">
        <v>105</v>
      </c>
      <c r="K23" s="158"/>
      <c r="L23" s="159"/>
      <c r="M23" s="160">
        <f>(H17*H14)</f>
        <v>0</v>
      </c>
      <c r="N23" s="161" t="s">
        <v>69</v>
      </c>
      <c r="O23" s="88"/>
      <c r="S23" s="162" t="s">
        <v>106</v>
      </c>
      <c r="T23" s="163"/>
      <c r="X23" s="10"/>
      <c r="Y23" s="10"/>
      <c r="Z23" s="10"/>
      <c r="AA23" s="1"/>
      <c r="AB23" s="1"/>
      <c r="AD23" s="164"/>
      <c r="AT23" s="505">
        <v>1.5</v>
      </c>
      <c r="AU23" s="165" t="s">
        <v>106</v>
      </c>
      <c r="AV23" s="166" t="s">
        <v>107</v>
      </c>
      <c r="AW23" s="15"/>
      <c r="AX23" s="15"/>
      <c r="BF23" s="15"/>
      <c r="BG23" s="15"/>
      <c r="BH23" s="15"/>
      <c r="BI23" s="16"/>
      <c r="BJ23" s="16"/>
      <c r="BK23" s="16"/>
      <c r="BL23" s="16"/>
    </row>
    <row r="24" spans="1:64" ht="15" customHeight="1" x14ac:dyDescent="0.4">
      <c r="A24" s="1"/>
      <c r="B24" s="1"/>
      <c r="C24" s="1"/>
      <c r="D24" s="1"/>
      <c r="E24" s="1"/>
      <c r="F24" s="167" t="s">
        <v>108</v>
      </c>
      <c r="G24" s="168" t="s">
        <v>109</v>
      </c>
      <c r="H24" s="169" t="s">
        <v>110</v>
      </c>
      <c r="I24" s="170">
        <v>200</v>
      </c>
      <c r="J24" s="41" t="s">
        <v>111</v>
      </c>
      <c r="K24" s="171"/>
      <c r="L24" s="172" t="s">
        <v>112</v>
      </c>
      <c r="M24" s="173">
        <v>0</v>
      </c>
      <c r="N24" s="174" t="s">
        <v>23</v>
      </c>
      <c r="O24" s="22"/>
      <c r="P24" s="81" t="s">
        <v>113</v>
      </c>
      <c r="Q24" s="82"/>
      <c r="R24" s="83"/>
      <c r="S24" s="84" t="s">
        <v>17</v>
      </c>
      <c r="T24" s="84" t="s">
        <v>114</v>
      </c>
      <c r="U24" s="175" t="s">
        <v>106</v>
      </c>
      <c r="V24" s="165" t="s">
        <v>115</v>
      </c>
      <c r="W24" s="176" t="s">
        <v>116</v>
      </c>
      <c r="X24" s="176" t="s">
        <v>117</v>
      </c>
      <c r="Y24" s="10"/>
      <c r="Z24" s="10"/>
      <c r="AA24" s="1"/>
      <c r="AB24" s="1"/>
      <c r="AD24" s="164"/>
      <c r="AT24" s="505">
        <v>1.4</v>
      </c>
      <c r="AU24" s="165" t="s">
        <v>106</v>
      </c>
      <c r="AV24" s="166" t="s">
        <v>118</v>
      </c>
      <c r="AW24" s="15"/>
      <c r="AX24" s="15"/>
      <c r="BF24" s="15"/>
      <c r="BG24" s="15"/>
      <c r="BH24" s="15"/>
      <c r="BI24" s="16"/>
      <c r="BJ24" s="16"/>
      <c r="BK24" s="16"/>
      <c r="BL24" s="16"/>
    </row>
    <row r="25" spans="1:64" ht="15" customHeight="1" x14ac:dyDescent="0.4">
      <c r="A25" s="1"/>
      <c r="B25" s="1"/>
      <c r="C25" s="1"/>
      <c r="D25" s="1"/>
      <c r="E25" s="1"/>
      <c r="F25" s="131" t="s">
        <v>119</v>
      </c>
      <c r="G25" s="73" t="s">
        <v>120</v>
      </c>
      <c r="H25" s="33" t="s">
        <v>121</v>
      </c>
      <c r="I25" s="177">
        <f>H8</f>
        <v>160</v>
      </c>
      <c r="J25" s="86" t="s">
        <v>122</v>
      </c>
      <c r="K25" s="178"/>
      <c r="L25" s="179" t="s">
        <v>123</v>
      </c>
      <c r="M25" s="180">
        <v>300</v>
      </c>
      <c r="N25" s="97"/>
      <c r="O25" s="88"/>
      <c r="P25" s="181" t="s">
        <v>27</v>
      </c>
      <c r="Q25" s="182"/>
      <c r="R25" s="183" t="s">
        <v>124</v>
      </c>
      <c r="S25" s="184">
        <v>1.5</v>
      </c>
      <c r="T25" s="184">
        <v>1.45</v>
      </c>
      <c r="U25" s="184">
        <f>IF($H$6="controllo qualità",T25,S25)</f>
        <v>1.5</v>
      </c>
      <c r="V25" s="184">
        <v>0.8</v>
      </c>
      <c r="W25" s="184">
        <v>1.25</v>
      </c>
      <c r="X25" s="184">
        <f>HLOOKUP($H$3,$U$68:$X$91,$O$71,FALSE)*0+2/M18</f>
        <v>0.5714285714285714</v>
      </c>
      <c r="Y25" s="10"/>
      <c r="Z25" s="10"/>
      <c r="AA25" s="1"/>
      <c r="AB25" s="1"/>
      <c r="AD25" s="164"/>
      <c r="AT25" s="505">
        <v>0.8</v>
      </c>
      <c r="AU25" s="165" t="s">
        <v>125</v>
      </c>
      <c r="AV25" s="15"/>
      <c r="AW25" s="15"/>
      <c r="AX25" s="15"/>
      <c r="BF25" s="15"/>
      <c r="BG25" s="15"/>
      <c r="BH25" s="15"/>
      <c r="BI25" s="16"/>
      <c r="BJ25" s="16"/>
      <c r="BK25" s="16"/>
      <c r="BL25" s="16"/>
    </row>
    <row r="26" spans="1:64" ht="15" customHeight="1" x14ac:dyDescent="0.25">
      <c r="A26" s="1"/>
      <c r="B26" s="1"/>
      <c r="C26" s="1"/>
      <c r="D26" s="1"/>
      <c r="E26" s="1"/>
      <c r="F26" s="185"/>
      <c r="G26" s="52"/>
      <c r="H26" s="186" t="s">
        <v>126</v>
      </c>
      <c r="I26" s="187">
        <v>100</v>
      </c>
      <c r="J26" s="131"/>
      <c r="K26" s="178"/>
      <c r="L26" s="179" t="s">
        <v>127</v>
      </c>
      <c r="M26" s="180">
        <v>250</v>
      </c>
      <c r="N26" s="97"/>
      <c r="O26" s="88"/>
      <c r="P26" s="181" t="s">
        <v>27</v>
      </c>
      <c r="Q26" s="182"/>
      <c r="R26" s="183" t="s">
        <v>128</v>
      </c>
      <c r="S26" s="184">
        <f>S25</f>
        <v>1.5</v>
      </c>
      <c r="T26" s="184">
        <f>T25</f>
        <v>1.45</v>
      </c>
      <c r="U26" s="184">
        <f>U25</f>
        <v>1.5</v>
      </c>
      <c r="V26" s="184">
        <v>0.55000000000000004</v>
      </c>
      <c r="W26" s="184">
        <f>W25</f>
        <v>1.25</v>
      </c>
      <c r="X26" s="184">
        <f>X25</f>
        <v>0.5714285714285714</v>
      </c>
      <c r="Y26" s="10"/>
      <c r="Z26" s="10"/>
      <c r="AA26" s="1"/>
      <c r="AB26" s="1"/>
      <c r="AD26" s="164"/>
      <c r="AT26" s="505">
        <v>1.25</v>
      </c>
      <c r="AU26" s="176" t="s">
        <v>116</v>
      </c>
      <c r="AV26" s="15"/>
      <c r="AW26" s="15"/>
      <c r="AX26" s="15"/>
      <c r="BF26" s="15"/>
      <c r="BG26" s="15"/>
      <c r="BH26" s="15"/>
      <c r="BI26" s="16"/>
      <c r="BJ26" s="16"/>
      <c r="BK26" s="16"/>
      <c r="BL26" s="16"/>
    </row>
    <row r="27" spans="1:64" ht="15" customHeight="1" x14ac:dyDescent="0.25">
      <c r="A27" s="1"/>
      <c r="B27" s="1"/>
      <c r="C27" s="1"/>
      <c r="D27" s="188" t="s">
        <v>129</v>
      </c>
      <c r="E27" s="1"/>
      <c r="F27" s="189" t="s">
        <v>130</v>
      </c>
      <c r="G27" s="190"/>
      <c r="H27" s="94"/>
      <c r="I27" s="191">
        <v>15</v>
      </c>
      <c r="J27" s="185"/>
      <c r="K27" s="52"/>
      <c r="L27" s="192" t="s">
        <v>131</v>
      </c>
      <c r="M27" s="193">
        <v>200</v>
      </c>
      <c r="N27" s="194"/>
      <c r="O27" s="79"/>
      <c r="P27" s="195" t="s">
        <v>28</v>
      </c>
      <c r="Q27" s="196"/>
      <c r="R27" s="197" t="s">
        <v>132</v>
      </c>
      <c r="S27" s="184">
        <v>1.45</v>
      </c>
      <c r="T27" s="184">
        <v>1.35</v>
      </c>
      <c r="U27" s="184">
        <f>IF($H$6="controllo qualità",T27,S27)</f>
        <v>1.45</v>
      </c>
      <c r="V27" s="184">
        <v>0.7</v>
      </c>
      <c r="W27" s="184">
        <v>1.1499999999999999</v>
      </c>
      <c r="X27" s="184">
        <f>HLOOKUP($H$3,$U$68:$X$91,$O$72,FALSE)*0+2.5/M18</f>
        <v>0.7142857142857143</v>
      </c>
      <c r="Y27" s="10"/>
      <c r="Z27" s="10"/>
      <c r="AA27" s="1"/>
      <c r="AB27" s="1"/>
      <c r="AD27" s="164"/>
      <c r="AT27" s="505">
        <v>0.67</v>
      </c>
      <c r="AU27" s="176" t="s">
        <v>117</v>
      </c>
      <c r="AV27" s="166" t="s">
        <v>133</v>
      </c>
      <c r="AW27" s="15"/>
      <c r="AX27" s="15"/>
      <c r="BF27" s="15"/>
      <c r="BG27" s="15"/>
      <c r="BH27" s="15"/>
      <c r="BI27" s="16"/>
      <c r="BJ27" s="16"/>
      <c r="BK27" s="16"/>
      <c r="BL27" s="16"/>
    </row>
    <row r="28" spans="1:64" ht="15" customHeight="1" x14ac:dyDescent="0.25">
      <c r="A28" s="1"/>
      <c r="B28" s="1"/>
      <c r="C28" s="1"/>
      <c r="D28" s="198" t="s">
        <v>134</v>
      </c>
      <c r="E28" s="199">
        <v>1.3</v>
      </c>
      <c r="F28" s="154" t="s">
        <v>135</v>
      </c>
      <c r="G28" s="35"/>
      <c r="H28" s="35"/>
      <c r="I28" s="178"/>
      <c r="J28" s="35"/>
      <c r="K28" s="35"/>
      <c r="L28" s="35"/>
      <c r="M28" s="35"/>
      <c r="N28" s="35"/>
      <c r="O28" s="88"/>
      <c r="P28" s="195" t="s">
        <v>136</v>
      </c>
      <c r="Q28" s="200"/>
      <c r="R28" s="201" t="s">
        <v>137</v>
      </c>
      <c r="S28" s="184">
        <v>1.5</v>
      </c>
      <c r="T28" s="184">
        <v>1.4</v>
      </c>
      <c r="U28" s="184">
        <f>IF($H$6="controllo qualità",T28,S28)</f>
        <v>1.5</v>
      </c>
      <c r="V28" s="184">
        <v>0.9</v>
      </c>
      <c r="W28" s="184">
        <v>1.1499999999999999</v>
      </c>
      <c r="X28" s="184">
        <v>1</v>
      </c>
      <c r="Y28" s="10"/>
      <c r="Z28" s="10"/>
      <c r="AA28" s="1"/>
      <c r="AB28" s="1"/>
      <c r="AD28" s="164"/>
      <c r="AT28" s="505">
        <v>0.8</v>
      </c>
      <c r="AU28" s="176" t="s">
        <v>138</v>
      </c>
      <c r="AV28" s="166" t="s">
        <v>139</v>
      </c>
      <c r="AW28" s="166"/>
      <c r="AX28" s="166"/>
      <c r="BF28" s="15"/>
      <c r="BG28" s="15"/>
      <c r="BH28" s="15"/>
      <c r="BI28" s="16"/>
      <c r="BJ28" s="16"/>
      <c r="BK28" s="16"/>
      <c r="BL28" s="16"/>
    </row>
    <row r="29" spans="1:64" ht="15" customHeight="1" x14ac:dyDescent="0.25">
      <c r="A29" s="1"/>
      <c r="B29" s="1"/>
      <c r="C29" s="1"/>
      <c r="D29" s="198" t="s">
        <v>140</v>
      </c>
      <c r="E29" s="199">
        <v>1.5</v>
      </c>
      <c r="F29" s="35" t="s">
        <v>141</v>
      </c>
      <c r="G29" s="202">
        <f>IF(LEFT(H5)="G",IF(H9&gt;600,1,MIN((600/H9)^0.1,1.1)),IF(LEFT(H5)="C",IF(H9&gt;150,1,MIN((150/H9)^0.2,1.3)),1))</f>
        <v>1.1000000000000001</v>
      </c>
      <c r="H29" s="35"/>
      <c r="I29" s="178"/>
      <c r="J29" s="35"/>
      <c r="K29" s="35"/>
      <c r="L29" s="35"/>
      <c r="M29" s="35"/>
      <c r="N29" s="35"/>
      <c r="O29" s="22"/>
      <c r="P29" s="203" t="str">
        <f>AT8&amp;":"</f>
        <v>UTENTE:</v>
      </c>
      <c r="Q29" s="204"/>
      <c r="R29" s="205" t="str">
        <f>LEFT(AT9)</f>
        <v>Q</v>
      </c>
      <c r="S29" s="184">
        <f>AT23</f>
        <v>1.5</v>
      </c>
      <c r="T29" s="184">
        <f>AT24</f>
        <v>1.4</v>
      </c>
      <c r="U29" s="184">
        <f>IF($H$6="controllo qualità",T29,S29)</f>
        <v>1.5</v>
      </c>
      <c r="V29" s="184">
        <f>AT25</f>
        <v>0.8</v>
      </c>
      <c r="W29" s="184">
        <f>AT26</f>
        <v>1.25</v>
      </c>
      <c r="X29" s="184">
        <f>AT27</f>
        <v>0.67</v>
      </c>
      <c r="Y29" s="10"/>
      <c r="Z29" s="10"/>
      <c r="AA29" s="1"/>
      <c r="AB29" s="1"/>
      <c r="AD29" s="1"/>
      <c r="AE29" s="1"/>
      <c r="AF29" s="166"/>
      <c r="AG29" s="206"/>
      <c r="AH29" s="206"/>
      <c r="AI29" s="166"/>
      <c r="AJ29" s="166"/>
      <c r="AK29" s="166"/>
      <c r="AL29" s="166"/>
      <c r="AQ29" s="166"/>
      <c r="AR29" s="166"/>
      <c r="AS29" s="166"/>
      <c r="AT29" s="166"/>
      <c r="AU29" s="166"/>
      <c r="AV29" s="166"/>
      <c r="AW29" s="166"/>
      <c r="BF29" s="15"/>
      <c r="BG29" s="15"/>
      <c r="BH29" s="15"/>
      <c r="BI29" s="16"/>
      <c r="BJ29" s="16"/>
      <c r="BK29" s="16"/>
      <c r="BL29" s="16"/>
    </row>
    <row r="30" spans="1:64" ht="15" customHeight="1" x14ac:dyDescent="0.25">
      <c r="A30" s="1"/>
      <c r="B30" s="1"/>
      <c r="C30" s="1"/>
      <c r="D30" s="198" t="s">
        <v>142</v>
      </c>
      <c r="E30" s="199">
        <v>1.5</v>
      </c>
      <c r="F30" s="35" t="s">
        <v>143</v>
      </c>
      <c r="G30" s="202">
        <f>VLOOKUP(LEFT(H5),R25:X29,7,FALSE)</f>
        <v>0.7142857142857143</v>
      </c>
      <c r="H30" s="35"/>
      <c r="I30" s="35"/>
      <c r="J30" s="35"/>
      <c r="K30" s="35"/>
      <c r="L30" s="35"/>
      <c r="M30" s="35"/>
      <c r="N30" s="35"/>
      <c r="O30" s="207"/>
      <c r="P30" s="22"/>
      <c r="Q30" s="22"/>
      <c r="R30" s="22"/>
      <c r="S30" s="208"/>
      <c r="T30" s="208"/>
      <c r="U30" s="208"/>
      <c r="V30" s="208"/>
      <c r="W30" s="208"/>
      <c r="X30" s="10"/>
      <c r="Y30" s="1"/>
      <c r="Z30" s="1"/>
      <c r="AA30" s="1"/>
      <c r="AB30" s="1"/>
      <c r="AD30" s="1"/>
      <c r="AI30" s="79"/>
      <c r="AJ30" s="79"/>
      <c r="AK30" s="79"/>
      <c r="AL30" s="79"/>
      <c r="AQ30" s="79"/>
      <c r="AR30" s="79"/>
      <c r="AS30" s="79"/>
      <c r="AT30" s="79"/>
      <c r="AU30" s="79"/>
      <c r="AV30" s="79"/>
      <c r="AW30" s="79"/>
      <c r="BF30" s="15"/>
      <c r="BG30" s="15"/>
      <c r="BH30" s="15"/>
      <c r="BI30" s="16"/>
      <c r="BJ30" s="16"/>
      <c r="BK30" s="16"/>
      <c r="BL30" s="16"/>
    </row>
    <row r="31" spans="1:64" ht="15" customHeight="1" x14ac:dyDescent="0.25">
      <c r="A31" s="1"/>
      <c r="B31" s="1"/>
      <c r="C31" s="1"/>
      <c r="D31" s="209" t="s">
        <v>144</v>
      </c>
      <c r="E31" s="209"/>
      <c r="F31" s="35" t="s">
        <v>145</v>
      </c>
      <c r="G31" s="210">
        <f>G30*H8</f>
        <v>114.28571428571429</v>
      </c>
      <c r="H31" s="35" t="s">
        <v>23</v>
      </c>
      <c r="I31" s="35"/>
      <c r="J31" s="35"/>
      <c r="K31" s="35"/>
      <c r="L31" s="35"/>
      <c r="M31" s="35"/>
      <c r="N31" s="35"/>
      <c r="O31" s="207"/>
      <c r="P31" s="22"/>
      <c r="S31" s="208"/>
      <c r="T31" s="208"/>
      <c r="U31" s="208"/>
      <c r="V31" s="208"/>
      <c r="W31" s="208"/>
      <c r="X31" s="10"/>
      <c r="Y31" s="1"/>
      <c r="Z31" s="1"/>
      <c r="AA31" s="1"/>
      <c r="AB31" s="1"/>
      <c r="AI31" s="88"/>
      <c r="AJ31" s="88"/>
      <c r="AK31" s="88"/>
      <c r="AL31" s="88"/>
      <c r="AQ31" s="88"/>
      <c r="AR31" s="88"/>
      <c r="AS31" s="88"/>
      <c r="AT31" s="88"/>
      <c r="AU31" s="88"/>
      <c r="AV31" s="88"/>
      <c r="AW31" s="88"/>
      <c r="BF31" s="15"/>
      <c r="BG31" s="15"/>
      <c r="BH31" s="15"/>
      <c r="BI31" s="16"/>
      <c r="BJ31" s="16"/>
      <c r="BK31" s="16"/>
      <c r="BL31" s="16"/>
    </row>
    <row r="32" spans="1:64" ht="15" customHeight="1" x14ac:dyDescent="0.25">
      <c r="A32" s="1"/>
      <c r="B32" s="1"/>
      <c r="C32" s="1"/>
      <c r="D32" s="211" t="s">
        <v>146</v>
      </c>
      <c r="E32" s="199">
        <f>E28*(M21*H10^2/8+H19*H10/4)+E29*(M22*H10^2/8+H20*H10/4)</f>
        <v>0.31590000000000001</v>
      </c>
      <c r="F32" s="75" t="s">
        <v>147</v>
      </c>
      <c r="G32" s="210">
        <f>H9*H8</f>
        <v>19200</v>
      </c>
      <c r="H32" s="178" t="s">
        <v>148</v>
      </c>
      <c r="I32" s="35"/>
      <c r="J32" s="35"/>
      <c r="K32" s="35"/>
      <c r="L32" s="35"/>
      <c r="M32" s="35"/>
      <c r="N32" s="35"/>
      <c r="O32" s="207"/>
      <c r="S32" s="208"/>
      <c r="T32" s="208"/>
      <c r="U32" s="208"/>
      <c r="V32" s="208"/>
      <c r="W32" s="208"/>
      <c r="X32" s="10"/>
      <c r="AI32" s="22"/>
      <c r="AJ32" s="22"/>
      <c r="AK32" s="22"/>
      <c r="AL32" s="22"/>
      <c r="AQ32" s="22"/>
      <c r="AR32" s="22"/>
      <c r="AS32" s="22"/>
      <c r="AT32" s="22"/>
      <c r="AU32" s="22"/>
      <c r="AV32" s="22"/>
      <c r="AW32" s="22"/>
      <c r="BF32" s="15"/>
      <c r="BG32" s="15"/>
      <c r="BH32" s="15"/>
      <c r="BI32" s="16"/>
      <c r="BJ32" s="16"/>
      <c r="BK32" s="16"/>
      <c r="BL32" s="16"/>
    </row>
    <row r="33" spans="1:64" ht="15" customHeight="1" x14ac:dyDescent="0.25">
      <c r="A33" s="1"/>
      <c r="B33" s="1"/>
      <c r="C33" s="1"/>
      <c r="D33" s="211" t="s">
        <v>149</v>
      </c>
      <c r="E33" s="199">
        <f>E28*M21+E29*M22</f>
        <v>0.12480000000000001</v>
      </c>
      <c r="F33" s="75" t="s">
        <v>150</v>
      </c>
      <c r="G33" s="212">
        <f>H8*(H9^3)/12</f>
        <v>23040000</v>
      </c>
      <c r="H33" s="178" t="s">
        <v>151</v>
      </c>
      <c r="I33" s="35"/>
      <c r="J33" s="35"/>
      <c r="K33" s="35"/>
      <c r="L33" s="35"/>
      <c r="M33" s="35"/>
      <c r="N33" s="35"/>
      <c r="O33" s="1"/>
      <c r="S33" s="213"/>
      <c r="T33" s="213"/>
      <c r="U33" s="213"/>
      <c r="V33" s="213"/>
      <c r="W33" s="208"/>
      <c r="X33" s="10"/>
      <c r="AI33" s="88"/>
      <c r="AJ33" s="88"/>
      <c r="AK33" s="88"/>
      <c r="AL33" s="88"/>
      <c r="AQ33" s="88"/>
      <c r="AR33" s="88"/>
      <c r="AS33" s="88"/>
      <c r="AT33" s="88"/>
      <c r="AU33" s="88"/>
      <c r="AV33" s="88"/>
      <c r="AW33" s="88"/>
      <c r="BF33" s="15"/>
      <c r="BG33" s="15"/>
      <c r="BH33" s="15"/>
      <c r="BI33" s="16"/>
      <c r="BJ33" s="16"/>
      <c r="BK33" s="16"/>
      <c r="BL33" s="16"/>
    </row>
    <row r="34" spans="1:64" ht="15" customHeight="1" x14ac:dyDescent="0.25">
      <c r="A34" s="1"/>
      <c r="B34" s="1"/>
      <c r="C34" s="1"/>
      <c r="D34" s="211" t="s">
        <v>152</v>
      </c>
      <c r="E34" s="199">
        <f>E28*H19+E29*H20</f>
        <v>0</v>
      </c>
      <c r="F34" s="75" t="s">
        <v>153</v>
      </c>
      <c r="G34" s="212">
        <f>H9*(H8^3)/12</f>
        <v>40960000</v>
      </c>
      <c r="H34" s="178" t="s">
        <v>151</v>
      </c>
      <c r="I34" s="35"/>
      <c r="J34" s="35"/>
      <c r="K34" s="35"/>
      <c r="L34" s="35"/>
      <c r="M34" s="35"/>
      <c r="N34" s="35"/>
      <c r="O34" s="1"/>
      <c r="P34" s="214" t="s">
        <v>154</v>
      </c>
      <c r="Q34" s="215"/>
      <c r="R34" s="215"/>
      <c r="S34" s="215"/>
      <c r="T34" s="216"/>
      <c r="U34" s="217" t="s">
        <v>155</v>
      </c>
      <c r="V34" s="214" t="s">
        <v>156</v>
      </c>
      <c r="W34" s="216"/>
      <c r="X34" s="218"/>
      <c r="AI34" s="88"/>
      <c r="AJ34" s="88"/>
      <c r="AK34" s="88"/>
      <c r="AL34" s="88"/>
      <c r="AQ34" s="88"/>
      <c r="AR34" s="88"/>
      <c r="AS34" s="88"/>
      <c r="AT34" s="88"/>
      <c r="AU34" s="88"/>
      <c r="AV34" s="88"/>
      <c r="AW34" s="88"/>
      <c r="BF34" s="15"/>
      <c r="BG34" s="15"/>
      <c r="BH34" s="15"/>
      <c r="BI34" s="16"/>
      <c r="BJ34" s="16"/>
      <c r="BK34" s="16"/>
      <c r="BL34" s="16"/>
    </row>
    <row r="35" spans="1:64" ht="15" customHeight="1" x14ac:dyDescent="0.25">
      <c r="A35" s="1"/>
      <c r="B35" s="1"/>
      <c r="C35" s="1"/>
      <c r="D35" s="211" t="s">
        <v>157</v>
      </c>
      <c r="E35" s="199">
        <f>K48</f>
        <v>0.6</v>
      </c>
      <c r="F35" s="75" t="s">
        <v>158</v>
      </c>
      <c r="G35" s="210">
        <f>H8*(H9^2)/6</f>
        <v>384000</v>
      </c>
      <c r="H35" s="178" t="s">
        <v>159</v>
      </c>
      <c r="I35" s="35"/>
      <c r="J35" s="35"/>
      <c r="K35" s="35"/>
      <c r="L35" s="35"/>
      <c r="M35" s="35"/>
      <c r="N35" s="35"/>
      <c r="O35" s="207"/>
      <c r="P35" s="219" t="s">
        <v>160</v>
      </c>
      <c r="Q35" s="220"/>
      <c r="R35" s="221" t="s">
        <v>161</v>
      </c>
      <c r="S35" s="222"/>
      <c r="T35" s="223"/>
      <c r="U35" s="224" t="s">
        <v>162</v>
      </c>
      <c r="V35" s="221" t="s">
        <v>163</v>
      </c>
      <c r="W35" s="223"/>
      <c r="AI35" s="79"/>
      <c r="AJ35" s="79"/>
      <c r="AK35" s="79"/>
      <c r="AL35" s="79"/>
      <c r="AQ35" s="79"/>
      <c r="AR35" s="79"/>
      <c r="AS35" s="79"/>
      <c r="AT35" s="79"/>
      <c r="AU35" s="79"/>
      <c r="AV35" s="79"/>
      <c r="AW35" s="79"/>
      <c r="BF35" s="15"/>
      <c r="BG35" s="15"/>
      <c r="BH35" s="15"/>
      <c r="BI35" s="16"/>
      <c r="BJ35" s="16"/>
      <c r="BK35" s="16"/>
      <c r="BL35" s="16"/>
    </row>
    <row r="36" spans="1:64" ht="15" customHeight="1" x14ac:dyDescent="0.3">
      <c r="A36" s="1"/>
      <c r="B36" s="1"/>
      <c r="C36" s="1"/>
      <c r="D36" s="211" t="s">
        <v>164</v>
      </c>
      <c r="E36" s="199">
        <f>E32/E35</f>
        <v>0.52650000000000008</v>
      </c>
      <c r="F36" s="75" t="s">
        <v>165</v>
      </c>
      <c r="G36" s="212">
        <f>H9*(H8^2)/6</f>
        <v>512000</v>
      </c>
      <c r="H36" s="178" t="s">
        <v>159</v>
      </c>
      <c r="I36" s="35"/>
      <c r="J36" s="35"/>
      <c r="K36" s="35"/>
      <c r="L36" s="35"/>
      <c r="M36" s="35"/>
      <c r="N36" s="35"/>
      <c r="O36" s="225"/>
      <c r="P36" s="226"/>
      <c r="Q36" s="227"/>
      <c r="R36" s="224">
        <v>1</v>
      </c>
      <c r="S36" s="224">
        <v>2</v>
      </c>
      <c r="T36" s="224">
        <v>3</v>
      </c>
      <c r="U36" s="224">
        <v>1</v>
      </c>
      <c r="V36" s="224">
        <v>1</v>
      </c>
      <c r="W36" s="224">
        <v>2</v>
      </c>
      <c r="AI36" s="88"/>
      <c r="AJ36" s="88"/>
      <c r="AK36" s="88"/>
      <c r="AL36" s="88"/>
      <c r="AQ36" s="88"/>
      <c r="AR36" s="88"/>
      <c r="AS36" s="88"/>
      <c r="AT36" s="88"/>
      <c r="AU36" s="88"/>
      <c r="AV36" s="88"/>
      <c r="AW36" s="88"/>
      <c r="BF36" s="15"/>
      <c r="BG36" s="15"/>
      <c r="BH36" s="15"/>
      <c r="BI36" s="16"/>
      <c r="BJ36" s="16"/>
      <c r="BK36" s="16"/>
      <c r="BL36" s="16"/>
    </row>
    <row r="37" spans="1:64" ht="15" customHeight="1" x14ac:dyDescent="0.3">
      <c r="A37" s="1"/>
      <c r="B37" s="1"/>
      <c r="C37" s="1"/>
      <c r="D37" s="1"/>
      <c r="E37" s="1"/>
      <c r="F37" s="228" t="s">
        <v>166</v>
      </c>
      <c r="G37" s="229"/>
      <c r="H37" s="230"/>
      <c r="I37" s="228" t="s">
        <v>167</v>
      </c>
      <c r="J37" s="229"/>
      <c r="K37" s="229"/>
      <c r="L37" s="230"/>
      <c r="M37" s="76" t="s">
        <v>168</v>
      </c>
      <c r="N37" s="231" t="str">
        <f>IF(OR(MAX(H39,H40,H41,L39,L40,H42,L41)&gt;1,I43="Verifiche non soddisfatte"),"NO!","OK!")</f>
        <v>OK!</v>
      </c>
      <c r="O37" s="225"/>
      <c r="P37" s="232" t="s">
        <v>169</v>
      </c>
      <c r="Q37" s="233">
        <v>1</v>
      </c>
      <c r="R37" s="234">
        <v>0.6</v>
      </c>
      <c r="S37" s="234">
        <v>0.6</v>
      </c>
      <c r="T37" s="234">
        <v>0.5</v>
      </c>
      <c r="U37" s="234">
        <v>0.3</v>
      </c>
      <c r="V37" s="234">
        <v>0.4</v>
      </c>
      <c r="W37" s="234">
        <v>0.3</v>
      </c>
      <c r="Y37" s="218"/>
      <c r="Z37" s="221" t="s">
        <v>170</v>
      </c>
      <c r="AA37" s="223"/>
      <c r="AI37" s="22"/>
      <c r="AJ37" s="22"/>
      <c r="AK37" s="22"/>
      <c r="AL37" s="22"/>
      <c r="AQ37" s="22"/>
      <c r="AR37" s="22"/>
      <c r="AS37" s="22"/>
      <c r="AT37" s="22"/>
      <c r="AU37" s="22"/>
      <c r="AV37" s="22"/>
      <c r="AW37" s="22"/>
      <c r="BF37" s="15"/>
      <c r="BG37" s="15"/>
      <c r="BH37" s="15"/>
      <c r="BI37" s="16"/>
      <c r="BJ37" s="16"/>
      <c r="BK37" s="16"/>
      <c r="BL37" s="16"/>
    </row>
    <row r="38" spans="1:64" ht="15" customHeight="1" x14ac:dyDescent="0.3">
      <c r="A38" s="1"/>
      <c r="B38" s="1"/>
      <c r="C38" s="1"/>
      <c r="D38" s="235" t="s">
        <v>171</v>
      </c>
      <c r="E38" s="235"/>
      <c r="F38" s="236"/>
      <c r="G38" s="237"/>
      <c r="H38" s="238" t="s">
        <v>172</v>
      </c>
      <c r="I38" s="236"/>
      <c r="J38" s="171"/>
      <c r="K38" s="171"/>
      <c r="L38" s="239" t="s">
        <v>172</v>
      </c>
      <c r="M38" s="178"/>
      <c r="N38" s="240"/>
      <c r="O38" s="225"/>
      <c r="P38" s="241" t="s">
        <v>173</v>
      </c>
      <c r="Q38" s="242">
        <v>2</v>
      </c>
      <c r="R38" s="243">
        <v>0.7</v>
      </c>
      <c r="S38" s="243">
        <v>0.7</v>
      </c>
      <c r="T38" s="243">
        <v>0.55000000000000004</v>
      </c>
      <c r="U38" s="243">
        <v>0.45</v>
      </c>
      <c r="V38" s="243">
        <v>0.5</v>
      </c>
      <c r="W38" s="243">
        <v>0.4</v>
      </c>
      <c r="Z38" s="184" t="s">
        <v>174</v>
      </c>
      <c r="AA38" s="184" t="s">
        <v>120</v>
      </c>
      <c r="AI38" s="88"/>
      <c r="AJ38" s="88"/>
      <c r="AK38" s="88"/>
      <c r="AL38" s="88"/>
      <c r="AQ38" s="88"/>
      <c r="AR38" s="88"/>
      <c r="AS38" s="88"/>
      <c r="AT38" s="88"/>
      <c r="AU38" s="88"/>
      <c r="AV38" s="88"/>
      <c r="AW38" s="88"/>
      <c r="BF38" s="15"/>
      <c r="BG38" s="15"/>
      <c r="BH38" s="15"/>
      <c r="BI38" s="16"/>
      <c r="BJ38" s="16"/>
      <c r="BK38" s="16"/>
      <c r="BL38" s="16"/>
    </row>
    <row r="39" spans="1:64" ht="15" customHeight="1" x14ac:dyDescent="0.25">
      <c r="A39" s="1"/>
      <c r="B39" s="1"/>
      <c r="C39" s="1"/>
      <c r="D39" s="211" t="s">
        <v>146</v>
      </c>
      <c r="E39" s="199">
        <f>E28*(M21*H10^2/8+H19*H10/4)+E29*(M22*H10^2/8+H20*H10/4)+E30*(M23*H10^2/8+H21*H10/4)</f>
        <v>0.31590000000000001</v>
      </c>
      <c r="F39" s="244" t="s">
        <v>175</v>
      </c>
      <c r="G39" s="245" t="s">
        <v>176</v>
      </c>
      <c r="H39" s="246">
        <f>M96</f>
        <v>7.5306285511363633E-2</v>
      </c>
      <c r="I39" s="244" t="s">
        <v>177</v>
      </c>
      <c r="J39" s="178"/>
      <c r="K39" s="178"/>
      <c r="L39" s="247">
        <f>M140</f>
        <v>0</v>
      </c>
      <c r="M39" s="35"/>
      <c r="N39" s="35"/>
      <c r="O39" s="1"/>
      <c r="P39" s="241" t="s">
        <v>178</v>
      </c>
      <c r="Q39" s="242">
        <v>3</v>
      </c>
      <c r="R39" s="243">
        <v>0.8</v>
      </c>
      <c r="S39" s="243">
        <v>0.8</v>
      </c>
      <c r="T39" s="243">
        <v>0.65</v>
      </c>
      <c r="U39" s="243">
        <v>0.65</v>
      </c>
      <c r="V39" s="243">
        <v>0.7</v>
      </c>
      <c r="W39" s="243">
        <v>0.55000000000000004</v>
      </c>
      <c r="Z39" s="243" t="s">
        <v>179</v>
      </c>
      <c r="AA39" s="243" t="s">
        <v>109</v>
      </c>
      <c r="AI39" s="88"/>
      <c r="AJ39" s="88"/>
      <c r="AK39" s="88"/>
      <c r="AL39" s="88"/>
      <c r="AQ39" s="88"/>
      <c r="AR39" s="88"/>
      <c r="AS39" s="88"/>
      <c r="AT39" s="88"/>
      <c r="AU39" s="88"/>
      <c r="AV39" s="88"/>
      <c r="AW39" s="88"/>
      <c r="BF39" s="15"/>
      <c r="BG39" s="15"/>
      <c r="BH39" s="15"/>
      <c r="BI39" s="16"/>
      <c r="BJ39" s="16"/>
      <c r="BK39" s="16"/>
      <c r="BL39" s="16"/>
    </row>
    <row r="40" spans="1:64" ht="15" customHeight="1" x14ac:dyDescent="0.25">
      <c r="A40" s="1"/>
      <c r="B40" s="1"/>
      <c r="C40" s="1"/>
      <c r="D40" s="211" t="s">
        <v>149</v>
      </c>
      <c r="E40" s="199">
        <f>E28*M21+E29*M22+E30*M23</f>
        <v>0.12480000000000001</v>
      </c>
      <c r="F40" s="248" t="s">
        <v>180</v>
      </c>
      <c r="G40" s="249"/>
      <c r="H40" s="246">
        <f>M99</f>
        <v>7.5306285511363633E-2</v>
      </c>
      <c r="I40" s="244" t="s">
        <v>181</v>
      </c>
      <c r="J40" s="178"/>
      <c r="K40" s="178"/>
      <c r="L40" s="246">
        <f>M146</f>
        <v>0.17403684155518395</v>
      </c>
      <c r="M40" s="35"/>
      <c r="N40" s="35"/>
      <c r="O40" s="1"/>
      <c r="P40" s="241" t="s">
        <v>182</v>
      </c>
      <c r="Q40" s="242">
        <v>4</v>
      </c>
      <c r="R40" s="243">
        <v>0.9</v>
      </c>
      <c r="S40" s="243">
        <v>0.9</v>
      </c>
      <c r="T40" s="243">
        <v>0.7</v>
      </c>
      <c r="U40" s="243">
        <v>0.85</v>
      </c>
      <c r="V40" s="243">
        <v>0.9</v>
      </c>
      <c r="W40" s="243">
        <v>0.7</v>
      </c>
      <c r="Y40" s="250" t="s">
        <v>183</v>
      </c>
      <c r="Z40" s="234">
        <v>1.25</v>
      </c>
      <c r="AA40" s="234">
        <v>1.5</v>
      </c>
      <c r="AI40" s="22"/>
      <c r="AJ40" s="22"/>
      <c r="AK40" s="22"/>
      <c r="AL40" s="22"/>
      <c r="AQ40" s="22"/>
      <c r="AR40" s="22"/>
      <c r="AS40" s="22"/>
      <c r="AT40" s="22"/>
      <c r="AU40" s="22"/>
      <c r="AV40" s="22"/>
      <c r="AW40" s="22"/>
      <c r="BF40" s="15"/>
      <c r="BG40" s="15"/>
      <c r="BH40" s="15"/>
      <c r="BI40" s="16"/>
      <c r="BJ40" s="16"/>
      <c r="BK40" s="16"/>
      <c r="BL40" s="16"/>
    </row>
    <row r="41" spans="1:64" ht="15" customHeight="1" x14ac:dyDescent="0.25">
      <c r="A41" s="1"/>
      <c r="B41" s="1"/>
      <c r="C41" s="1"/>
      <c r="D41" s="211" t="s">
        <v>152</v>
      </c>
      <c r="E41" s="199">
        <f>E28*H19+E29*H20+E30*H21</f>
        <v>0</v>
      </c>
      <c r="F41" s="244" t="s">
        <v>184</v>
      </c>
      <c r="G41" s="245" t="s">
        <v>185</v>
      </c>
      <c r="H41" s="246">
        <f>M102</f>
        <v>2.1206250000000003E-2</v>
      </c>
      <c r="I41" s="244" t="s">
        <v>186</v>
      </c>
      <c r="J41" s="178"/>
      <c r="K41" s="178"/>
      <c r="L41" s="246">
        <f>M152</f>
        <v>0.13922947324414714</v>
      </c>
      <c r="M41" s="178"/>
      <c r="N41" s="178"/>
      <c r="O41" s="251"/>
      <c r="P41" s="252" t="s">
        <v>187</v>
      </c>
      <c r="Q41" s="253">
        <v>5</v>
      </c>
      <c r="R41" s="254">
        <v>1.1000000000000001</v>
      </c>
      <c r="S41" s="254">
        <v>1.1000000000000001</v>
      </c>
      <c r="T41" s="254">
        <v>0.9</v>
      </c>
      <c r="U41" s="254">
        <v>1.1000000000000001</v>
      </c>
      <c r="V41" s="254">
        <v>1.1000000000000001</v>
      </c>
      <c r="W41" s="254">
        <v>0.9</v>
      </c>
      <c r="Y41" s="255" t="s">
        <v>132</v>
      </c>
      <c r="Z41" s="254">
        <v>1.5</v>
      </c>
      <c r="AA41" s="254">
        <v>1.75</v>
      </c>
      <c r="AI41" s="88"/>
      <c r="AJ41" s="88"/>
      <c r="AK41" s="88"/>
      <c r="AL41" s="88"/>
      <c r="AQ41" s="88"/>
      <c r="AR41" s="88"/>
      <c r="AS41" s="88"/>
      <c r="AT41" s="88"/>
      <c r="AU41" s="88"/>
      <c r="AV41" s="88"/>
      <c r="AW41" s="88"/>
      <c r="BF41" s="15"/>
      <c r="BG41" s="15"/>
      <c r="BH41" s="15"/>
      <c r="BI41" s="16"/>
      <c r="BJ41" s="16"/>
      <c r="BK41" s="16"/>
      <c r="BL41" s="16"/>
    </row>
    <row r="42" spans="1:64" ht="15" customHeight="1" x14ac:dyDescent="0.25">
      <c r="A42" s="1"/>
      <c r="B42" s="1"/>
      <c r="C42" s="1"/>
      <c r="D42" s="211" t="s">
        <v>157</v>
      </c>
      <c r="E42" s="199">
        <f>K49</f>
        <v>0.8</v>
      </c>
      <c r="F42" s="256" t="s">
        <v>188</v>
      </c>
      <c r="G42" s="257"/>
      <c r="H42" s="258">
        <f>M105</f>
        <v>4.2149068322981367E-3</v>
      </c>
      <c r="I42" s="259" t="str">
        <f>IF(OR(E22=3,E22=4),"","Freccia per P = 1 kN")</f>
        <v>Freccia per P = 1 kN</v>
      </c>
      <c r="J42" s="158"/>
      <c r="K42" s="159"/>
      <c r="L42" s="260" t="str">
        <f>IF(OR(E22=12,E22=13),"",1*1000*(H10*1000)^3/48/M8/G33)</f>
        <v/>
      </c>
      <c r="M42" s="35"/>
      <c r="N42" s="35"/>
      <c r="O42" s="251"/>
      <c r="P42" s="1"/>
      <c r="Q42" s="1"/>
      <c r="R42" s="261">
        <v>1</v>
      </c>
      <c r="S42" s="261">
        <v>2</v>
      </c>
      <c r="T42" s="261">
        <v>3</v>
      </c>
      <c r="U42" s="262">
        <v>4</v>
      </c>
      <c r="V42" s="262">
        <v>5</v>
      </c>
      <c r="W42" s="262">
        <v>6</v>
      </c>
      <c r="BF42" s="15"/>
      <c r="BG42" s="15"/>
      <c r="BH42" s="15"/>
      <c r="BI42" s="16"/>
      <c r="BJ42" s="16"/>
      <c r="BK42" s="16"/>
      <c r="BL42" s="16"/>
    </row>
    <row r="43" spans="1:64" ht="15" customHeight="1" x14ac:dyDescent="0.25">
      <c r="A43" s="1"/>
      <c r="B43" s="1"/>
      <c r="C43" s="1"/>
      <c r="D43" s="211" t="s">
        <v>164</v>
      </c>
      <c r="E43" s="199">
        <f>E39/E42</f>
        <v>0.39487499999999998</v>
      </c>
      <c r="F43" s="189" t="s">
        <v>189</v>
      </c>
      <c r="G43" s="263"/>
      <c r="H43" s="94"/>
      <c r="I43" s="264" t="str">
        <f>IF(AND(MAX(M212,M214,M216,M218)&lt;=1,N168&lt;&gt;0),"Verifiche soddisfatte per R"&amp;N168&amp;"",IF(N168=0,"Verifiche al fuoco non necessarie","Verifiche non soddisfatte"))</f>
        <v>Verifiche soddisfatte per R15</v>
      </c>
      <c r="J43" s="94"/>
      <c r="K43" s="94"/>
      <c r="L43" s="265"/>
      <c r="M43" s="35"/>
      <c r="N43" s="35"/>
      <c r="O43" s="266"/>
      <c r="P43" s="221" t="s">
        <v>190</v>
      </c>
      <c r="Q43" s="223"/>
      <c r="R43" s="184">
        <f>VLOOKUP($E$23,$Q37:R41,R42+1,FALSE)</f>
        <v>0.8</v>
      </c>
      <c r="S43" s="184">
        <f>VLOOKUP($E$23,$Q37:S41,S42+1,FALSE)</f>
        <v>0.8</v>
      </c>
      <c r="T43" s="184">
        <f>VLOOKUP($E$23,$Q37:T41,T42+1,FALSE)</f>
        <v>0.65</v>
      </c>
      <c r="U43" s="184">
        <f>VLOOKUP($E$23,$Q37:U41,U42+1,FALSE)</f>
        <v>0.65</v>
      </c>
      <c r="V43" s="184">
        <f>VLOOKUP($E$23,$Q37:V41,V42+1,FALSE)</f>
        <v>0.7</v>
      </c>
      <c r="W43" s="184">
        <f>VLOOKUP($E$23,$Q37:W41,W42+1,FALSE)</f>
        <v>0.55000000000000004</v>
      </c>
      <c r="AI43" s="15"/>
      <c r="AJ43" s="15"/>
      <c r="AK43" s="15"/>
      <c r="AL43" s="15"/>
      <c r="AQ43" s="15"/>
      <c r="AR43" s="15"/>
      <c r="AS43" s="15"/>
      <c r="AT43" s="15"/>
      <c r="AU43" s="15"/>
      <c r="AV43" s="15"/>
      <c r="AW43" s="15"/>
      <c r="BF43" s="15"/>
      <c r="BG43" s="15"/>
      <c r="BH43" s="15"/>
      <c r="BI43" s="16"/>
      <c r="BJ43" s="16"/>
      <c r="BK43" s="16"/>
      <c r="BL43" s="16"/>
    </row>
    <row r="44" spans="1:64" ht="15" customHeight="1" x14ac:dyDescent="0.25">
      <c r="A44" s="1"/>
      <c r="B44" s="1"/>
      <c r="C44" s="1"/>
      <c r="D44" s="1"/>
      <c r="E44" s="1"/>
      <c r="F44" s="267" t="str">
        <f>IF(OR(E22=12,E22=13),"","** Se u(1kN) &lt; 1.25 mm, si può ritenere automaticamente soddisfatta la prova a vibrazione senza ulteriori verifiche. (Condizione valida nel caso di travi di solaio)")</f>
        <v/>
      </c>
      <c r="G44" s="267"/>
      <c r="H44" s="267"/>
      <c r="I44" s="267"/>
      <c r="J44" s="267"/>
      <c r="K44" s="267"/>
      <c r="L44" s="267"/>
      <c r="M44" s="267"/>
      <c r="N44" s="267"/>
      <c r="O44" s="1"/>
      <c r="AI44" s="15"/>
      <c r="AJ44" s="15"/>
      <c r="AK44" s="15"/>
      <c r="AL44" s="15"/>
      <c r="AQ44" s="15"/>
      <c r="AR44" s="15"/>
      <c r="AS44" s="15"/>
      <c r="AT44" s="15"/>
      <c r="AU44" s="15"/>
      <c r="AV44" s="15"/>
      <c r="AW44" s="15"/>
      <c r="BF44" s="15"/>
      <c r="BG44" s="15"/>
      <c r="BH44" s="15"/>
      <c r="BI44" s="16"/>
      <c r="BJ44" s="16"/>
      <c r="BK44" s="16"/>
      <c r="BL44" s="16"/>
    </row>
    <row r="45" spans="1:64" ht="15" customHeight="1" x14ac:dyDescent="0.25">
      <c r="A45" s="1"/>
      <c r="B45" s="1"/>
      <c r="C45" s="1"/>
      <c r="D45" s="235" t="s">
        <v>191</v>
      </c>
      <c r="E45" s="235"/>
      <c r="F45" s="267"/>
      <c r="G45" s="267"/>
      <c r="H45" s="267"/>
      <c r="I45" s="267"/>
      <c r="J45" s="267"/>
      <c r="K45" s="267"/>
      <c r="L45" s="267"/>
      <c r="M45" s="267"/>
      <c r="N45" s="267"/>
      <c r="O45" s="1"/>
      <c r="P45" s="214" t="s">
        <v>192</v>
      </c>
      <c r="Q45" s="215"/>
      <c r="R45" s="215"/>
      <c r="S45" s="215"/>
      <c r="T45" s="215"/>
      <c r="U45" s="216"/>
      <c r="V45" s="1"/>
      <c r="AI45" s="15"/>
      <c r="AJ45" s="15"/>
      <c r="AK45" s="15"/>
      <c r="AL45" s="15"/>
      <c r="AQ45" s="15"/>
      <c r="AR45" s="15"/>
      <c r="AS45" s="15"/>
      <c r="AT45" s="15"/>
      <c r="AU45" s="15"/>
      <c r="AV45" s="15"/>
      <c r="AW45" s="15"/>
      <c r="BF45" s="15"/>
      <c r="BG45" s="15"/>
      <c r="BH45" s="15"/>
      <c r="BI45" s="16"/>
      <c r="BJ45" s="16"/>
      <c r="BK45" s="16"/>
      <c r="BL45" s="16"/>
    </row>
    <row r="46" spans="1:64" ht="15" customHeight="1" x14ac:dyDescent="0.25">
      <c r="A46" s="1"/>
      <c r="B46" s="1"/>
      <c r="C46" s="1"/>
      <c r="D46" s="211" t="s">
        <v>164</v>
      </c>
      <c r="E46" s="199">
        <f>MAX(E36,E43)</f>
        <v>0.52650000000000008</v>
      </c>
      <c r="F46" s="35"/>
      <c r="G46" s="35"/>
      <c r="H46" s="35"/>
      <c r="I46" s="35"/>
      <c r="J46" s="35"/>
      <c r="K46" s="115"/>
      <c r="L46" s="75"/>
      <c r="M46" s="268"/>
      <c r="N46" s="269"/>
      <c r="O46" s="1"/>
      <c r="P46" s="270" t="s">
        <v>160</v>
      </c>
      <c r="Q46" s="271"/>
      <c r="R46" s="272"/>
      <c r="S46" s="270" t="s">
        <v>161</v>
      </c>
      <c r="T46" s="271"/>
      <c r="U46" s="272"/>
      <c r="V46" s="1"/>
      <c r="W46" s="1"/>
      <c r="AI46" s="15"/>
      <c r="AJ46" s="15"/>
      <c r="AK46" s="15"/>
      <c r="AL46" s="15"/>
      <c r="AM46" s="15"/>
      <c r="AN46" s="15"/>
      <c r="AO46" s="15"/>
      <c r="AP46" s="15"/>
      <c r="AQ46" s="15"/>
      <c r="AR46" s="15"/>
      <c r="AS46" s="15"/>
      <c r="AT46" s="15"/>
      <c r="AU46" s="15"/>
      <c r="AV46" s="15"/>
      <c r="AW46" s="15"/>
      <c r="BF46" s="15"/>
      <c r="BG46" s="15"/>
      <c r="BH46" s="15"/>
      <c r="BI46" s="16"/>
      <c r="BJ46" s="16"/>
      <c r="BK46" s="16"/>
      <c r="BL46" s="16"/>
    </row>
    <row r="47" spans="1:64" ht="15" customHeight="1" x14ac:dyDescent="0.25">
      <c r="A47" s="1"/>
      <c r="B47" s="1"/>
      <c r="C47" s="1"/>
      <c r="D47" s="211" t="s">
        <v>146</v>
      </c>
      <c r="E47" s="199">
        <f>IF($E$46=$E$36,E32,E39)</f>
        <v>0.31590000000000001</v>
      </c>
      <c r="F47" s="146" t="s">
        <v>193</v>
      </c>
      <c r="G47" s="35"/>
      <c r="H47" s="35"/>
      <c r="I47" s="35"/>
      <c r="J47" s="35"/>
      <c r="K47" s="35"/>
      <c r="L47" s="35"/>
      <c r="M47" s="35"/>
      <c r="N47" s="35"/>
      <c r="O47" s="1"/>
      <c r="P47" s="273"/>
      <c r="Q47" s="274"/>
      <c r="R47" s="275"/>
      <c r="S47" s="276">
        <v>1</v>
      </c>
      <c r="T47" s="277">
        <v>2</v>
      </c>
      <c r="U47" s="278">
        <v>3</v>
      </c>
      <c r="V47" s="1"/>
      <c r="W47" s="1"/>
      <c r="AI47" s="15"/>
      <c r="AJ47" s="15"/>
      <c r="AK47" s="15"/>
      <c r="AL47" s="15"/>
      <c r="AM47" s="15"/>
      <c r="AN47" s="15"/>
      <c r="AO47" s="15"/>
      <c r="AP47" s="15"/>
      <c r="AQ47" s="15"/>
      <c r="AR47" s="15"/>
      <c r="AS47" s="15"/>
      <c r="AT47" s="15"/>
      <c r="AU47" s="15"/>
      <c r="AV47" s="15"/>
      <c r="AW47" s="15"/>
      <c r="BF47" s="15"/>
      <c r="BG47" s="15"/>
      <c r="BH47" s="15"/>
      <c r="BI47" s="16"/>
      <c r="BJ47" s="16"/>
      <c r="BK47" s="16"/>
      <c r="BL47" s="16"/>
    </row>
    <row r="48" spans="1:64" ht="15" customHeight="1" x14ac:dyDescent="0.25">
      <c r="A48" s="1"/>
      <c r="B48" s="1"/>
      <c r="C48" s="1"/>
      <c r="D48" s="211" t="s">
        <v>149</v>
      </c>
      <c r="E48" s="199">
        <f>IF($E$46=$E$36,E33,E40)</f>
        <v>0.12480000000000001</v>
      </c>
      <c r="F48" s="279" t="s">
        <v>194</v>
      </c>
      <c r="G48" s="280" t="s">
        <v>195</v>
      </c>
      <c r="H48" s="35"/>
      <c r="I48" s="35"/>
      <c r="J48" s="281" t="s">
        <v>196</v>
      </c>
      <c r="K48" s="282">
        <f>IF(LEFT(H5,5)="OSB 3",IF(H22=1,U37,"classe di servizio non accettabile"),IF(LEFT(H5,5)="OSB 4",IF(H22&lt;=2,HLOOKUP(H22,V36:W37,2),"classe di servizio non accettabile"),HLOOKUP(H22,R36:T37,2,FALSE)))</f>
        <v>0.6</v>
      </c>
      <c r="L48" s="35"/>
      <c r="M48" s="35"/>
      <c r="N48" s="35"/>
      <c r="O48" s="1"/>
      <c r="P48" s="221" t="s">
        <v>197</v>
      </c>
      <c r="Q48" s="222"/>
      <c r="R48" s="223"/>
      <c r="S48" s="184">
        <v>0.6</v>
      </c>
      <c r="T48" s="184">
        <v>0.8</v>
      </c>
      <c r="U48" s="184">
        <v>2</v>
      </c>
      <c r="AI48" s="166"/>
      <c r="AJ48" s="166"/>
      <c r="AK48" s="166"/>
      <c r="AL48" s="166"/>
      <c r="AM48" s="166"/>
      <c r="AN48" s="166"/>
      <c r="AO48" s="166"/>
      <c r="AP48" s="166"/>
      <c r="AQ48" s="166"/>
      <c r="AR48" s="166"/>
      <c r="AS48" s="166"/>
      <c r="AT48" s="166"/>
      <c r="AU48" s="166"/>
      <c r="AV48" s="166"/>
      <c r="AW48" s="166"/>
      <c r="BF48" s="15"/>
      <c r="BG48" s="15"/>
      <c r="BH48" s="15"/>
      <c r="BI48" s="16"/>
      <c r="BJ48" s="16"/>
      <c r="BK48" s="16"/>
      <c r="BL48" s="16"/>
    </row>
    <row r="49" spans="1:64" ht="15" customHeight="1" x14ac:dyDescent="0.25">
      <c r="A49" s="1"/>
      <c r="B49" s="1"/>
      <c r="C49" s="1"/>
      <c r="D49" s="211" t="s">
        <v>152</v>
      </c>
      <c r="E49" s="199">
        <f>IF($E$46=$E$36,E34,E41)</f>
        <v>0</v>
      </c>
      <c r="F49" s="279" t="s">
        <v>198</v>
      </c>
      <c r="G49" s="280" t="s">
        <v>199</v>
      </c>
      <c r="H49" s="35"/>
      <c r="I49" s="35"/>
      <c r="J49" s="281" t="s">
        <v>196</v>
      </c>
      <c r="K49" s="282">
        <f>IF(LEFT(H5,5)="OSB 3",IF(H22=1,U43,"classe di servizio non accettabile"),IF(LEFT(H5,5)="OSB 4",IF(H22&lt;=2,HLOOKUP(H22,V36:W43,8),"classe di servizio non accettabile"),HLOOKUP(H22,R36:T43,8,FALSE)))</f>
        <v>0.8</v>
      </c>
      <c r="L49" s="35"/>
      <c r="M49" s="35"/>
      <c r="N49" s="35"/>
      <c r="O49" s="1"/>
      <c r="P49" s="221" t="s">
        <v>200</v>
      </c>
      <c r="Q49" s="222"/>
      <c r="R49" s="223"/>
      <c r="S49" s="184">
        <v>1.5</v>
      </c>
      <c r="T49" s="184">
        <v>2.25</v>
      </c>
      <c r="U49" s="184" t="s">
        <v>201</v>
      </c>
      <c r="V49" s="283" t="s">
        <v>99</v>
      </c>
      <c r="W49" s="283" t="s">
        <v>202</v>
      </c>
      <c r="BF49" s="15"/>
      <c r="BG49" s="15"/>
      <c r="BH49" s="15"/>
      <c r="BI49" s="16"/>
      <c r="BJ49" s="16"/>
      <c r="BK49" s="16"/>
      <c r="BL49" s="16"/>
    </row>
    <row r="50" spans="1:64" ht="15" customHeight="1" x14ac:dyDescent="0.25">
      <c r="A50" s="1"/>
      <c r="B50" s="1"/>
      <c r="C50" s="1"/>
      <c r="D50" s="211" t="s">
        <v>157</v>
      </c>
      <c r="E50" s="199">
        <f>IF(E46=E36,E35,E42)</f>
        <v>0.6</v>
      </c>
      <c r="F50" s="284" t="s">
        <v>203</v>
      </c>
      <c r="G50" s="284"/>
      <c r="H50" s="285" t="str">
        <f>IF(E46=E36,D31,D38)</f>
        <v>comb. 1)</v>
      </c>
      <c r="I50" s="35"/>
      <c r="J50" s="281" t="s">
        <v>196</v>
      </c>
      <c r="K50" s="282">
        <f>E50</f>
        <v>0.6</v>
      </c>
      <c r="L50" s="35"/>
      <c r="M50" s="35"/>
      <c r="N50" s="35"/>
      <c r="O50" s="1"/>
      <c r="P50" s="286" t="s">
        <v>204</v>
      </c>
      <c r="Q50" s="287"/>
      <c r="R50" s="287"/>
      <c r="S50" s="288" t="s">
        <v>205</v>
      </c>
      <c r="T50" s="289"/>
      <c r="U50" s="289">
        <v>0.3</v>
      </c>
      <c r="V50" s="290">
        <v>3</v>
      </c>
      <c r="W50" s="291">
        <f>U50</f>
        <v>0.3</v>
      </c>
      <c r="X50" s="292">
        <v>1</v>
      </c>
      <c r="BF50" s="15"/>
      <c r="BG50" s="15"/>
      <c r="BH50" s="15"/>
      <c r="BI50" s="16"/>
      <c r="BJ50" s="16"/>
      <c r="BK50" s="16"/>
      <c r="BL50" s="16"/>
    </row>
    <row r="51" spans="1:64" ht="15" customHeight="1" x14ac:dyDescent="0.25">
      <c r="A51" s="1"/>
      <c r="B51" s="1"/>
      <c r="C51" s="1"/>
      <c r="D51" s="1"/>
      <c r="E51" s="1"/>
      <c r="F51" s="178" t="s">
        <v>206</v>
      </c>
      <c r="G51" s="35"/>
      <c r="H51" s="285">
        <f>E48</f>
        <v>0.12480000000000001</v>
      </c>
      <c r="I51" s="76" t="s">
        <v>69</v>
      </c>
      <c r="J51" s="293"/>
      <c r="K51" s="35"/>
      <c r="L51" s="35"/>
      <c r="M51" s="35"/>
      <c r="N51" s="35"/>
      <c r="O51" s="1"/>
      <c r="P51" s="294" t="s">
        <v>207</v>
      </c>
      <c r="Q51" s="295"/>
      <c r="R51" s="295"/>
      <c r="S51" s="296" t="s">
        <v>205</v>
      </c>
      <c r="T51" s="72"/>
      <c r="U51" s="72">
        <v>0.3</v>
      </c>
      <c r="V51" s="108">
        <v>3</v>
      </c>
      <c r="W51" s="297">
        <f t="shared" ref="W51:W63" si="1">U51</f>
        <v>0.3</v>
      </c>
      <c r="X51" s="292">
        <v>2</v>
      </c>
      <c r="BF51" s="15"/>
      <c r="BG51" s="15"/>
      <c r="BH51" s="15"/>
      <c r="BI51" s="16"/>
      <c r="BJ51" s="16"/>
      <c r="BK51" s="16"/>
      <c r="BL51" s="16"/>
    </row>
    <row r="52" spans="1:64" ht="15" customHeight="1" x14ac:dyDescent="0.25">
      <c r="A52" s="1"/>
      <c r="B52" s="1"/>
      <c r="C52" s="1"/>
      <c r="D52" s="1"/>
      <c r="E52" s="1"/>
      <c r="F52" s="178" t="s">
        <v>208</v>
      </c>
      <c r="G52" s="298"/>
      <c r="H52" s="285">
        <f>E49</f>
        <v>0</v>
      </c>
      <c r="I52" s="285" t="s">
        <v>92</v>
      </c>
      <c r="J52" s="35"/>
      <c r="K52" s="35"/>
      <c r="L52" s="35"/>
      <c r="M52" s="35"/>
      <c r="N52" s="35"/>
      <c r="O52" s="1"/>
      <c r="P52" s="294" t="s">
        <v>209</v>
      </c>
      <c r="Q52" s="295"/>
      <c r="R52" s="295"/>
      <c r="S52" s="296" t="s">
        <v>205</v>
      </c>
      <c r="T52" s="295"/>
      <c r="U52" s="72">
        <v>0.6</v>
      </c>
      <c r="V52" s="108">
        <v>2</v>
      </c>
      <c r="W52" s="297">
        <f t="shared" si="1"/>
        <v>0.6</v>
      </c>
      <c r="X52" s="292">
        <v>3</v>
      </c>
      <c r="BF52" s="15"/>
      <c r="BG52" s="15"/>
      <c r="BH52" s="15"/>
      <c r="BI52" s="16"/>
      <c r="BJ52" s="16"/>
      <c r="BK52" s="16"/>
      <c r="BL52" s="16"/>
    </row>
    <row r="53" spans="1:64" ht="15" customHeight="1" x14ac:dyDescent="0.25">
      <c r="A53" s="1"/>
      <c r="B53" s="1"/>
      <c r="C53" s="1"/>
      <c r="D53" s="1"/>
      <c r="E53" s="1"/>
      <c r="F53" s="35"/>
      <c r="G53" s="35"/>
      <c r="H53" s="35"/>
      <c r="I53" s="35"/>
      <c r="J53" s="35"/>
      <c r="K53" s="35"/>
      <c r="L53" s="35"/>
      <c r="M53" s="35"/>
      <c r="N53" s="35"/>
      <c r="O53" s="1"/>
      <c r="P53" s="294" t="s">
        <v>210</v>
      </c>
      <c r="Q53" s="295"/>
      <c r="R53" s="295"/>
      <c r="S53" s="296" t="s">
        <v>205</v>
      </c>
      <c r="T53" s="295"/>
      <c r="U53" s="72">
        <v>0.6</v>
      </c>
      <c r="V53" s="108">
        <v>2</v>
      </c>
      <c r="W53" s="297">
        <f t="shared" si="1"/>
        <v>0.6</v>
      </c>
      <c r="X53" s="292">
        <v>4</v>
      </c>
      <c r="AA53" s="1"/>
      <c r="AB53" s="1"/>
      <c r="AC53" s="1"/>
      <c r="AD53" s="1"/>
      <c r="AE53" s="1"/>
      <c r="AF53" s="1"/>
      <c r="AG53" s="1"/>
      <c r="AH53" s="1"/>
      <c r="AI53" s="1"/>
      <c r="AJ53" s="1"/>
      <c r="AK53" s="1"/>
      <c r="AL53" s="1"/>
      <c r="AM53" s="1"/>
      <c r="AN53" s="1"/>
      <c r="AO53" s="1"/>
      <c r="AP53" s="1"/>
      <c r="AQ53" s="1"/>
      <c r="AR53" s="1"/>
      <c r="AS53" s="1"/>
      <c r="AT53" s="1"/>
      <c r="AU53" s="1"/>
      <c r="AV53" s="1"/>
      <c r="AW53" s="1"/>
      <c r="BF53" s="15"/>
      <c r="BG53" s="15"/>
      <c r="BH53" s="15"/>
      <c r="BI53" s="16"/>
      <c r="BJ53" s="16"/>
      <c r="BK53" s="16"/>
      <c r="BL53" s="16"/>
    </row>
    <row r="54" spans="1:64" ht="15" customHeight="1" x14ac:dyDescent="0.25">
      <c r="A54" s="1"/>
      <c r="B54" s="1"/>
      <c r="C54" s="1"/>
      <c r="D54" s="1"/>
      <c r="E54" s="1"/>
      <c r="F54" s="299"/>
      <c r="G54" s="299"/>
      <c r="H54" s="299"/>
      <c r="I54" s="299"/>
      <c r="J54" s="299"/>
      <c r="K54" s="299"/>
      <c r="L54" s="299"/>
      <c r="M54" s="299"/>
      <c r="N54" s="299"/>
      <c r="O54" s="300"/>
      <c r="P54" s="294" t="s">
        <v>211</v>
      </c>
      <c r="Q54" s="295"/>
      <c r="R54" s="295"/>
      <c r="S54" s="296" t="s">
        <v>205</v>
      </c>
      <c r="T54" s="295"/>
      <c r="U54" s="72">
        <v>0.8</v>
      </c>
      <c r="V54" s="108">
        <v>2</v>
      </c>
      <c r="W54" s="297">
        <f t="shared" si="1"/>
        <v>0.8</v>
      </c>
      <c r="X54" s="292">
        <v>5</v>
      </c>
      <c r="Y54" s="1"/>
      <c r="Z54" s="1"/>
      <c r="AA54" s="1"/>
      <c r="AB54" s="1"/>
      <c r="AC54" s="1"/>
      <c r="AD54" s="1"/>
      <c r="AE54" s="1"/>
      <c r="AF54" s="1"/>
      <c r="AG54" s="1"/>
      <c r="AH54" s="1"/>
      <c r="AI54" s="1"/>
      <c r="AJ54" s="1"/>
      <c r="AK54" s="1"/>
      <c r="AL54" s="1"/>
      <c r="AM54" s="1"/>
      <c r="AN54" s="1"/>
      <c r="AO54" s="1"/>
      <c r="AP54" s="1"/>
      <c r="AQ54" s="1"/>
      <c r="AR54" s="1"/>
      <c r="AS54" s="1"/>
      <c r="AT54" s="1"/>
      <c r="AU54" s="1"/>
      <c r="AV54" s="1"/>
      <c r="AW54" s="1"/>
      <c r="BF54" s="15"/>
      <c r="BG54" s="15"/>
      <c r="BH54" s="15"/>
      <c r="BI54" s="16"/>
      <c r="BJ54" s="16"/>
      <c r="BK54" s="16"/>
      <c r="BL54" s="16"/>
    </row>
    <row r="55" spans="1:64" ht="15" customHeight="1" x14ac:dyDescent="0.25">
      <c r="A55" s="1"/>
      <c r="B55" s="1"/>
      <c r="C55" s="1"/>
      <c r="D55" s="1"/>
      <c r="E55" s="1"/>
      <c r="F55" s="299"/>
      <c r="G55" s="299"/>
      <c r="H55" s="299"/>
      <c r="I55" s="299"/>
      <c r="J55" s="299"/>
      <c r="K55" s="299"/>
      <c r="L55" s="299"/>
      <c r="M55" s="299"/>
      <c r="N55" s="299"/>
      <c r="O55" s="300"/>
      <c r="P55" s="294" t="s">
        <v>212</v>
      </c>
      <c r="Q55" s="295"/>
      <c r="R55" s="295"/>
      <c r="S55" s="296" t="s">
        <v>205</v>
      </c>
      <c r="T55" s="295"/>
      <c r="U55" s="72">
        <v>0.6</v>
      </c>
      <c r="V55" s="108">
        <v>3</v>
      </c>
      <c r="W55" s="297">
        <f t="shared" si="1"/>
        <v>0.6</v>
      </c>
      <c r="X55" s="292">
        <v>6</v>
      </c>
      <c r="Y55" s="1"/>
      <c r="Z55" s="1"/>
      <c r="AA55" s="1"/>
      <c r="AB55" s="1"/>
      <c r="AC55" s="1"/>
      <c r="AD55" s="1"/>
      <c r="AE55" s="1"/>
      <c r="AF55" s="1"/>
      <c r="AG55" s="1"/>
      <c r="AH55" s="1"/>
      <c r="AI55" s="1"/>
      <c r="AJ55" s="1"/>
      <c r="AK55" s="1"/>
      <c r="AL55" s="1"/>
      <c r="AM55" s="1"/>
      <c r="AN55" s="1"/>
      <c r="AO55" s="1"/>
      <c r="AP55" s="1"/>
      <c r="AQ55" s="1"/>
      <c r="AR55" s="1"/>
      <c r="AS55" s="1"/>
      <c r="AT55" s="1"/>
      <c r="AU55" s="1"/>
      <c r="AV55" s="1"/>
      <c r="AW55" s="1"/>
      <c r="BF55" s="15"/>
      <c r="BG55" s="15"/>
      <c r="BH55" s="15"/>
      <c r="BI55" s="16"/>
      <c r="BJ55" s="16"/>
      <c r="BK55" s="16"/>
      <c r="BL55" s="16"/>
    </row>
    <row r="56" spans="1:64" ht="15" customHeight="1" x14ac:dyDescent="0.25">
      <c r="A56" s="1"/>
      <c r="B56" s="1"/>
      <c r="C56" s="218"/>
      <c r="D56" s="301"/>
      <c r="E56" s="301"/>
      <c r="F56" s="35"/>
      <c r="G56" s="35"/>
      <c r="H56" s="35"/>
      <c r="I56" s="35"/>
      <c r="J56" s="35"/>
      <c r="K56" s="35"/>
      <c r="L56" s="35"/>
      <c r="M56" s="35"/>
      <c r="N56" s="35"/>
      <c r="P56" s="302" t="s">
        <v>213</v>
      </c>
      <c r="Q56" s="303"/>
      <c r="R56" s="303"/>
      <c r="S56" s="296" t="s">
        <v>205</v>
      </c>
      <c r="T56" s="303"/>
      <c r="U56" s="72">
        <v>0.3</v>
      </c>
      <c r="V56" s="108">
        <v>3</v>
      </c>
      <c r="W56" s="297">
        <f t="shared" si="1"/>
        <v>0.3</v>
      </c>
      <c r="X56" s="292">
        <v>7</v>
      </c>
      <c r="AZ56" s="304"/>
      <c r="BA56" s="305"/>
      <c r="BB56" s="305"/>
      <c r="BF56" s="15"/>
      <c r="BG56" s="15"/>
      <c r="BH56" s="15"/>
      <c r="BI56" s="16"/>
      <c r="BJ56" s="16"/>
      <c r="BK56" s="16"/>
      <c r="BL56" s="16"/>
    </row>
    <row r="57" spans="1:64" ht="15" customHeight="1" x14ac:dyDescent="0.35">
      <c r="A57" s="1"/>
      <c r="B57" s="1"/>
      <c r="C57" s="1"/>
      <c r="D57" s="1"/>
      <c r="E57" s="1"/>
      <c r="F57" s="293" t="s">
        <v>214</v>
      </c>
      <c r="G57" s="115">
        <f>H51*H10/2+H52/2</f>
        <v>0.28079999999999999</v>
      </c>
      <c r="H57" s="75" t="s">
        <v>215</v>
      </c>
      <c r="I57" s="268"/>
      <c r="J57" s="306" t="s">
        <v>216</v>
      </c>
      <c r="K57" s="306"/>
      <c r="L57" s="306"/>
      <c r="M57" s="306"/>
      <c r="N57" s="35"/>
      <c r="P57" s="302" t="s">
        <v>217</v>
      </c>
      <c r="Q57" s="303"/>
      <c r="R57" s="303"/>
      <c r="S57" s="296" t="s">
        <v>205</v>
      </c>
      <c r="T57" s="303"/>
      <c r="U57" s="72">
        <v>0</v>
      </c>
      <c r="V57" s="108">
        <v>3</v>
      </c>
      <c r="W57" s="297">
        <f t="shared" si="1"/>
        <v>0</v>
      </c>
      <c r="X57" s="292">
        <v>8</v>
      </c>
      <c r="AZ57" s="304"/>
      <c r="BA57" s="305"/>
      <c r="BB57" s="305"/>
      <c r="BF57" s="15"/>
      <c r="BG57" s="15"/>
      <c r="BH57" s="15"/>
      <c r="BI57" s="16"/>
      <c r="BJ57" s="16"/>
      <c r="BK57" s="16"/>
      <c r="BL57" s="16"/>
    </row>
    <row r="58" spans="1:64" ht="14.5" x14ac:dyDescent="0.35">
      <c r="A58" s="1"/>
      <c r="B58" s="1"/>
      <c r="C58" s="1"/>
      <c r="D58" s="1"/>
      <c r="E58" s="1"/>
      <c r="F58" s="293" t="s">
        <v>218</v>
      </c>
      <c r="G58" s="115">
        <f>G57</f>
        <v>0.28079999999999999</v>
      </c>
      <c r="H58" s="75" t="s">
        <v>215</v>
      </c>
      <c r="I58" s="268"/>
      <c r="J58" s="307" t="s">
        <v>219</v>
      </c>
      <c r="K58" s="308"/>
      <c r="L58" s="139">
        <f>$M$21*$H$10/2+$H$19/2</f>
        <v>0.216</v>
      </c>
      <c r="M58" s="140" t="s">
        <v>92</v>
      </c>
      <c r="N58" s="35"/>
      <c r="P58" s="302" t="s">
        <v>220</v>
      </c>
      <c r="Q58" s="303"/>
      <c r="R58" s="303"/>
      <c r="S58" s="296" t="s">
        <v>205</v>
      </c>
      <c r="T58" s="303"/>
      <c r="U58" s="72">
        <f>AT28</f>
        <v>0.8</v>
      </c>
      <c r="V58" s="108">
        <v>3</v>
      </c>
      <c r="W58" s="297">
        <f t="shared" si="1"/>
        <v>0.8</v>
      </c>
      <c r="X58" s="292">
        <v>9</v>
      </c>
      <c r="AZ58" s="304"/>
      <c r="BA58" s="305"/>
      <c r="BB58" s="305"/>
      <c r="BF58" s="15"/>
      <c r="BG58" s="15"/>
      <c r="BH58" s="15"/>
      <c r="BI58" s="16"/>
      <c r="BJ58" s="16"/>
      <c r="BK58" s="16"/>
      <c r="BL58" s="16"/>
    </row>
    <row r="59" spans="1:64" ht="15" customHeight="1" x14ac:dyDescent="0.35">
      <c r="A59" s="1"/>
      <c r="B59" s="1"/>
      <c r="C59" s="218"/>
      <c r="D59" s="218"/>
      <c r="E59" s="218"/>
      <c r="F59" s="293" t="s">
        <v>221</v>
      </c>
      <c r="G59" s="115">
        <f>G58</f>
        <v>0.28079999999999999</v>
      </c>
      <c r="H59" s="75" t="s">
        <v>215</v>
      </c>
      <c r="I59" s="309"/>
      <c r="J59" s="310" t="s">
        <v>222</v>
      </c>
      <c r="K59" s="311"/>
      <c r="L59" s="149">
        <f>$M$22*$H$10/2+$H$20/2</f>
        <v>0</v>
      </c>
      <c r="M59" s="78" t="s">
        <v>92</v>
      </c>
      <c r="N59" s="35"/>
      <c r="P59" s="312" t="s">
        <v>223</v>
      </c>
      <c r="Q59" s="62"/>
      <c r="R59" s="62"/>
      <c r="S59" s="296" t="s">
        <v>205</v>
      </c>
      <c r="T59" s="72"/>
      <c r="U59" s="72">
        <f>AT28</f>
        <v>0.8</v>
      </c>
      <c r="V59" s="108">
        <v>3</v>
      </c>
      <c r="W59" s="297">
        <f t="shared" si="1"/>
        <v>0.8</v>
      </c>
      <c r="X59" s="292">
        <v>10</v>
      </c>
      <c r="AZ59" s="304"/>
      <c r="BA59" s="305"/>
      <c r="BB59" s="305"/>
      <c r="BF59" s="15"/>
      <c r="BG59" s="15"/>
      <c r="BH59" s="15"/>
      <c r="BI59" s="16"/>
      <c r="BJ59" s="16"/>
      <c r="BK59" s="16"/>
      <c r="BL59" s="16"/>
    </row>
    <row r="60" spans="1:64" ht="15" customHeight="1" x14ac:dyDescent="0.35">
      <c r="A60" s="1"/>
      <c r="B60" s="1"/>
      <c r="C60" s="1"/>
      <c r="D60" s="1"/>
      <c r="E60" s="1"/>
      <c r="F60" s="293" t="s">
        <v>224</v>
      </c>
      <c r="G60" s="115">
        <f>(H51*(H10)^2/8)+H52*H10/4</f>
        <v>0.31590000000000001</v>
      </c>
      <c r="H60" s="75" t="s">
        <v>225</v>
      </c>
      <c r="I60" s="268"/>
      <c r="J60" s="313" t="s">
        <v>226</v>
      </c>
      <c r="K60" s="314"/>
      <c r="L60" s="160">
        <f>$M$23*$H$10/2+$H$21/2</f>
        <v>0</v>
      </c>
      <c r="M60" s="161" t="s">
        <v>92</v>
      </c>
      <c r="N60" s="281"/>
      <c r="P60" s="312" t="s">
        <v>227</v>
      </c>
      <c r="Q60" s="62"/>
      <c r="R60" s="62"/>
      <c r="S60" s="296" t="s">
        <v>205</v>
      </c>
      <c r="T60" s="62"/>
      <c r="U60" s="72">
        <v>0</v>
      </c>
      <c r="V60" s="108">
        <v>5</v>
      </c>
      <c r="W60" s="297">
        <f t="shared" si="1"/>
        <v>0</v>
      </c>
      <c r="X60" s="292">
        <v>11</v>
      </c>
      <c r="AZ60" s="304"/>
      <c r="BA60" s="305"/>
      <c r="BB60" s="305"/>
      <c r="BF60" s="15"/>
      <c r="BG60" s="15"/>
      <c r="BH60" s="15"/>
      <c r="BI60" s="16"/>
      <c r="BJ60" s="16"/>
      <c r="BK60" s="16"/>
      <c r="BL60" s="16"/>
    </row>
    <row r="61" spans="1:64" ht="15" customHeight="1" x14ac:dyDescent="0.35">
      <c r="A61" s="1"/>
      <c r="B61" s="1"/>
      <c r="C61" s="301"/>
      <c r="D61" s="10"/>
      <c r="E61" s="10"/>
      <c r="F61" s="281"/>
      <c r="G61" s="281"/>
      <c r="H61" s="281"/>
      <c r="I61" s="281"/>
      <c r="J61" s="307" t="s">
        <v>228</v>
      </c>
      <c r="K61" s="308"/>
      <c r="L61" s="139">
        <f>$M$21*$H$10/2+$H$19/2</f>
        <v>0.216</v>
      </c>
      <c r="M61" s="140" t="s">
        <v>92</v>
      </c>
      <c r="N61" s="281"/>
      <c r="P61" s="312" t="s">
        <v>229</v>
      </c>
      <c r="Q61" s="62"/>
      <c r="R61" s="62"/>
      <c r="S61" s="296" t="s">
        <v>205</v>
      </c>
      <c r="T61" s="62"/>
      <c r="U61" s="72">
        <v>0</v>
      </c>
      <c r="V61" s="108">
        <v>4</v>
      </c>
      <c r="W61" s="297">
        <f t="shared" si="1"/>
        <v>0</v>
      </c>
      <c r="X61" s="292">
        <v>12</v>
      </c>
      <c r="AZ61" s="304"/>
      <c r="BA61" s="305"/>
      <c r="BB61" s="305"/>
      <c r="BF61" s="15"/>
      <c r="BG61" s="15"/>
      <c r="BH61" s="15"/>
      <c r="BI61" s="16"/>
      <c r="BJ61" s="16"/>
      <c r="BK61" s="16"/>
      <c r="BL61" s="16"/>
    </row>
    <row r="62" spans="1:64" ht="15" customHeight="1" x14ac:dyDescent="0.35">
      <c r="A62" s="1"/>
      <c r="B62" s="1"/>
      <c r="C62" s="218"/>
      <c r="D62" s="10"/>
      <c r="E62" s="1"/>
      <c r="F62" s="146" t="s">
        <v>230</v>
      </c>
      <c r="G62" s="75"/>
      <c r="H62" s="149"/>
      <c r="I62" s="76"/>
      <c r="J62" s="310" t="s">
        <v>231</v>
      </c>
      <c r="K62" s="311"/>
      <c r="L62" s="149">
        <f>$M$22*$H$10/2+$H$20/2</f>
        <v>0</v>
      </c>
      <c r="M62" s="78" t="s">
        <v>92</v>
      </c>
      <c r="N62" s="35"/>
      <c r="P62" s="312" t="s">
        <v>104</v>
      </c>
      <c r="Q62" s="62"/>
      <c r="R62" s="62"/>
      <c r="S62" s="296" t="s">
        <v>205</v>
      </c>
      <c r="T62" s="72"/>
      <c r="U62" s="72">
        <v>0.2</v>
      </c>
      <c r="V62" s="108">
        <v>3</v>
      </c>
      <c r="W62" s="297">
        <f t="shared" si="1"/>
        <v>0.2</v>
      </c>
      <c r="X62" s="292">
        <v>13</v>
      </c>
      <c r="AZ62" s="304"/>
      <c r="BA62" s="305"/>
      <c r="BB62" s="305"/>
      <c r="BF62" s="15"/>
      <c r="BG62" s="15"/>
      <c r="BH62" s="15"/>
      <c r="BI62" s="16"/>
      <c r="BJ62" s="16"/>
      <c r="BK62" s="16"/>
      <c r="BL62" s="16"/>
    </row>
    <row r="63" spans="1:64" ht="15" customHeight="1" x14ac:dyDescent="0.35">
      <c r="A63" s="1"/>
      <c r="B63" s="1"/>
      <c r="C63" s="1"/>
      <c r="D63" s="1"/>
      <c r="E63" s="1"/>
      <c r="F63" s="75" t="s">
        <v>232</v>
      </c>
      <c r="G63" s="75"/>
      <c r="H63" s="115">
        <f>G59</f>
        <v>0.28079999999999999</v>
      </c>
      <c r="I63" s="76" t="s">
        <v>92</v>
      </c>
      <c r="J63" s="313" t="s">
        <v>233</v>
      </c>
      <c r="K63" s="314"/>
      <c r="L63" s="160">
        <f>$M$23*$H$10/2+$H$21/2</f>
        <v>0</v>
      </c>
      <c r="M63" s="161" t="s">
        <v>92</v>
      </c>
      <c r="N63" s="315"/>
      <c r="P63" s="316" t="s">
        <v>234</v>
      </c>
      <c r="Q63" s="317"/>
      <c r="R63" s="317"/>
      <c r="S63" s="318" t="s">
        <v>205</v>
      </c>
      <c r="T63" s="319"/>
      <c r="U63" s="319">
        <v>0.6</v>
      </c>
      <c r="V63" s="143">
        <v>5</v>
      </c>
      <c r="W63" s="320">
        <f t="shared" si="1"/>
        <v>0.6</v>
      </c>
      <c r="X63" s="292">
        <v>14</v>
      </c>
      <c r="AZ63" s="304"/>
      <c r="BA63" s="305"/>
      <c r="BB63" s="305"/>
      <c r="BF63" s="15"/>
      <c r="BG63" s="15"/>
      <c r="BH63" s="15"/>
      <c r="BI63" s="16"/>
      <c r="BJ63" s="16"/>
      <c r="BK63" s="16"/>
      <c r="BL63" s="16"/>
    </row>
    <row r="64" spans="1:64" ht="15" customHeight="1" x14ac:dyDescent="0.25">
      <c r="A64" s="1"/>
      <c r="B64" s="1"/>
      <c r="C64" s="1"/>
      <c r="D64" s="1"/>
      <c r="E64" s="1"/>
      <c r="F64" s="75" t="s">
        <v>235</v>
      </c>
      <c r="G64" s="75"/>
      <c r="H64" s="115">
        <f>G60</f>
        <v>0.31590000000000001</v>
      </c>
      <c r="I64" s="76" t="s">
        <v>236</v>
      </c>
      <c r="J64" s="35"/>
      <c r="K64" s="35"/>
      <c r="L64" s="35"/>
      <c r="M64" s="35"/>
      <c r="N64" s="35"/>
      <c r="AZ64" s="304"/>
      <c r="BA64" s="305"/>
      <c r="BB64" s="305"/>
      <c r="BF64" s="15"/>
      <c r="BG64" s="15"/>
      <c r="BH64" s="15"/>
      <c r="BI64" s="16"/>
      <c r="BJ64" s="16"/>
      <c r="BK64" s="16"/>
      <c r="BL64" s="16"/>
    </row>
    <row r="65" spans="1:64" ht="15" customHeight="1" x14ac:dyDescent="0.25">
      <c r="A65" s="1"/>
      <c r="B65" s="1"/>
      <c r="C65" s="1"/>
      <c r="D65" s="1"/>
      <c r="E65" s="1"/>
      <c r="F65" s="69" t="s">
        <v>237</v>
      </c>
      <c r="G65" s="178"/>
      <c r="H65" s="202"/>
      <c r="I65" s="76"/>
      <c r="J65" s="35"/>
      <c r="K65" s="35"/>
      <c r="L65" s="35"/>
      <c r="M65" s="35"/>
      <c r="N65" s="35"/>
      <c r="AZ65" s="304"/>
      <c r="BA65" s="305"/>
      <c r="BB65" s="305"/>
      <c r="BF65" s="15"/>
      <c r="BG65" s="15"/>
      <c r="BH65" s="15"/>
      <c r="BI65" s="16"/>
      <c r="BJ65" s="16"/>
      <c r="BK65" s="16"/>
      <c r="BL65" s="16"/>
    </row>
    <row r="66" spans="1:64" ht="15" customHeight="1" x14ac:dyDescent="0.25">
      <c r="A66" s="1"/>
      <c r="B66" s="1"/>
      <c r="C66" s="1"/>
      <c r="D66" s="1"/>
      <c r="E66" s="1"/>
      <c r="F66" s="321" t="s">
        <v>238</v>
      </c>
      <c r="G66" s="178"/>
      <c r="H66" s="149">
        <f>1.5*H63*1000/(G32*G30)</f>
        <v>3.0712500000000004E-2</v>
      </c>
      <c r="I66" s="76" t="s">
        <v>26</v>
      </c>
      <c r="J66" s="322" t="s">
        <v>239</v>
      </c>
      <c r="K66" s="322"/>
      <c r="L66" s="322"/>
      <c r="M66" s="322"/>
      <c r="N66" s="323"/>
      <c r="O66" s="15"/>
      <c r="P66" s="9" t="s">
        <v>240</v>
      </c>
      <c r="Q66" s="10"/>
      <c r="S66" s="324" t="str">
        <f>Q68</f>
        <v>+ EC5-1-1:2005</v>
      </c>
      <c r="T66" s="324" t="str">
        <f>S68</f>
        <v>+ EC5-1-1:2014</v>
      </c>
      <c r="U66" s="324" t="str">
        <f>T68</f>
        <v>+ DT206:2018</v>
      </c>
      <c r="V66" s="10"/>
      <c r="W66" s="10"/>
      <c r="X66" s="10"/>
      <c r="Y66" s="10"/>
      <c r="AZ66" s="304"/>
      <c r="BA66" s="305"/>
      <c r="BB66" s="305"/>
      <c r="BF66" s="15"/>
      <c r="BG66" s="15"/>
      <c r="BH66" s="15"/>
      <c r="BI66" s="16"/>
      <c r="BJ66" s="16"/>
      <c r="BK66" s="16"/>
      <c r="BL66" s="16"/>
    </row>
    <row r="67" spans="1:64" ht="15" customHeight="1" x14ac:dyDescent="0.35">
      <c r="A67" s="1"/>
      <c r="B67" s="1"/>
      <c r="C67" s="1"/>
      <c r="D67" s="1"/>
      <c r="E67" s="1"/>
      <c r="F67" s="325" t="s">
        <v>241</v>
      </c>
      <c r="G67" s="178"/>
      <c r="H67" s="149">
        <f>H64*1000000/G35</f>
        <v>0.82265624999999998</v>
      </c>
      <c r="I67" s="76" t="s">
        <v>26</v>
      </c>
      <c r="J67" s="307" t="s">
        <v>242</v>
      </c>
      <c r="K67" s="308"/>
      <c r="L67" s="139">
        <f>L58+L59+L60</f>
        <v>0.216</v>
      </c>
      <c r="M67" s="140" t="s">
        <v>92</v>
      </c>
      <c r="N67" s="35"/>
      <c r="O67" s="326"/>
      <c r="P67" s="326"/>
      <c r="Q67" s="327" t="s">
        <v>243</v>
      </c>
      <c r="R67" s="327"/>
      <c r="S67" s="327"/>
      <c r="T67" s="327" t="s">
        <v>244</v>
      </c>
      <c r="U67" s="327"/>
      <c r="V67" s="327"/>
      <c r="W67" s="327" t="s">
        <v>245</v>
      </c>
      <c r="X67" s="327"/>
      <c r="Y67" s="327"/>
      <c r="AZ67" s="304"/>
      <c r="BA67" s="305"/>
      <c r="BB67" s="305"/>
      <c r="BF67" s="15"/>
      <c r="BG67" s="15"/>
      <c r="BH67" s="15"/>
      <c r="BI67" s="16"/>
      <c r="BJ67" s="16"/>
      <c r="BK67" s="16"/>
      <c r="BL67" s="16"/>
    </row>
    <row r="68" spans="1:64" ht="15" customHeight="1" x14ac:dyDescent="0.35">
      <c r="A68" s="1"/>
      <c r="B68" s="1"/>
      <c r="C68" s="1"/>
      <c r="D68" s="1"/>
      <c r="E68" s="1"/>
      <c r="F68" s="321" t="s">
        <v>246</v>
      </c>
      <c r="G68" s="33"/>
      <c r="H68" s="149">
        <f>IF(OR(I24=0,I25=0),"/",H63*10^3/(MIN(H8,I25)*I92))</f>
        <v>7.6304347826086959E-3</v>
      </c>
      <c r="I68" s="328" t="s">
        <v>247</v>
      </c>
      <c r="J68" s="313" t="s">
        <v>248</v>
      </c>
      <c r="K68" s="314"/>
      <c r="L68" s="160">
        <f>L61+L62+L63</f>
        <v>0.216</v>
      </c>
      <c r="M68" s="161" t="s">
        <v>92</v>
      </c>
      <c r="N68" s="35"/>
      <c r="O68" s="329">
        <v>1</v>
      </c>
      <c r="P68" s="330"/>
      <c r="Q68" s="324" t="s">
        <v>249</v>
      </c>
      <c r="R68" s="324" t="s">
        <v>250</v>
      </c>
      <c r="S68" s="324" t="s">
        <v>10</v>
      </c>
      <c r="T68" s="324" t="s">
        <v>251</v>
      </c>
      <c r="U68" s="324" t="str">
        <f t="shared" ref="U68:AB68" si="2">Q68</f>
        <v>+ EC5-1-1:2005</v>
      </c>
      <c r="V68" s="324" t="str">
        <f t="shared" si="2"/>
        <v>+ EC5-1-1:2009</v>
      </c>
      <c r="W68" s="324" t="str">
        <f t="shared" si="2"/>
        <v>+ EC5-1-1:2014</v>
      </c>
      <c r="X68" s="324" t="str">
        <f t="shared" si="2"/>
        <v>+ DT206:2018</v>
      </c>
      <c r="Y68" s="324" t="str">
        <f t="shared" si="2"/>
        <v>+ EC5-1-1:2005</v>
      </c>
      <c r="Z68" s="324" t="str">
        <f t="shared" si="2"/>
        <v>+ EC5-1-1:2009</v>
      </c>
      <c r="AA68" s="324" t="str">
        <f t="shared" si="2"/>
        <v>+ EC5-1-1:2014</v>
      </c>
      <c r="AB68" s="324" t="str">
        <f t="shared" si="2"/>
        <v>+ DT206:2018</v>
      </c>
      <c r="AZ68" s="304"/>
      <c r="BA68" s="305"/>
      <c r="BB68" s="305"/>
      <c r="BF68" s="15"/>
      <c r="BG68" s="15"/>
      <c r="BH68" s="15"/>
      <c r="BI68" s="16"/>
      <c r="BJ68" s="16"/>
      <c r="BK68" s="16"/>
      <c r="BL68" s="16"/>
    </row>
    <row r="69" spans="1:64" ht="15" customHeight="1" x14ac:dyDescent="0.25">
      <c r="A69" s="1"/>
      <c r="B69" s="1"/>
      <c r="C69" s="1"/>
      <c r="D69" s="1"/>
      <c r="E69" s="1"/>
      <c r="F69" s="321"/>
      <c r="G69" s="33"/>
      <c r="H69" s="331"/>
      <c r="I69" s="328"/>
      <c r="J69" s="35"/>
      <c r="K69" s="35"/>
      <c r="L69" s="35"/>
      <c r="M69" s="35"/>
      <c r="N69" s="35"/>
      <c r="O69" s="329">
        <v>2</v>
      </c>
      <c r="P69" s="330"/>
      <c r="Q69" s="332">
        <v>1</v>
      </c>
      <c r="R69" s="332">
        <v>2</v>
      </c>
      <c r="S69" s="332">
        <v>3</v>
      </c>
      <c r="T69" s="332">
        <v>4</v>
      </c>
      <c r="U69" s="332">
        <v>1</v>
      </c>
      <c r="V69" s="332">
        <v>2</v>
      </c>
      <c r="W69" s="332">
        <v>3</v>
      </c>
      <c r="X69" s="332">
        <v>4</v>
      </c>
      <c r="Y69" s="332">
        <v>1</v>
      </c>
      <c r="Z69" s="332">
        <v>2</v>
      </c>
      <c r="AA69" s="332">
        <v>3</v>
      </c>
      <c r="AB69" s="332">
        <v>4</v>
      </c>
      <c r="AZ69" s="304"/>
      <c r="BA69" s="305"/>
      <c r="BB69" s="305"/>
      <c r="BF69" s="15"/>
      <c r="BG69" s="15"/>
      <c r="BH69" s="15"/>
      <c r="BI69" s="16"/>
      <c r="BJ69" s="16"/>
      <c r="BK69" s="16"/>
      <c r="BL69" s="16"/>
    </row>
    <row r="70" spans="1:64" ht="15" customHeight="1" x14ac:dyDescent="0.25">
      <c r="A70" s="1"/>
      <c r="B70" s="1"/>
      <c r="C70" s="1"/>
      <c r="D70" s="1"/>
      <c r="E70" s="1"/>
      <c r="F70" s="35"/>
      <c r="G70" s="35"/>
      <c r="H70" s="333"/>
      <c r="I70" s="35"/>
      <c r="J70" s="35"/>
      <c r="K70" s="334"/>
      <c r="L70" s="35"/>
      <c r="M70" s="35"/>
      <c r="N70" s="35"/>
      <c r="O70" s="329">
        <v>3</v>
      </c>
      <c r="P70" s="330"/>
      <c r="Q70" s="335"/>
      <c r="R70" s="330"/>
      <c r="S70" s="330"/>
      <c r="T70" s="330"/>
      <c r="U70" s="336"/>
      <c r="V70" s="336"/>
      <c r="W70" s="336"/>
      <c r="X70" s="336"/>
      <c r="Y70" s="336" t="str">
        <f>""</f>
        <v/>
      </c>
      <c r="Z70" s="337" t="s">
        <v>252</v>
      </c>
      <c r="AA70" s="337" t="s">
        <v>252</v>
      </c>
      <c r="AB70" s="337" t="s">
        <v>253</v>
      </c>
      <c r="AX70" s="326"/>
      <c r="AY70" s="326"/>
      <c r="BF70" s="15"/>
      <c r="BG70" s="15"/>
      <c r="BH70" s="15"/>
      <c r="BI70" s="16"/>
      <c r="BJ70" s="16"/>
      <c r="BK70" s="16"/>
      <c r="BL70" s="16"/>
    </row>
    <row r="71" spans="1:64" ht="15" customHeight="1" x14ac:dyDescent="0.25">
      <c r="A71" s="1"/>
      <c r="B71" s="1"/>
      <c r="C71" s="1"/>
      <c r="D71" s="1"/>
      <c r="E71" s="1"/>
      <c r="F71" s="338" t="s">
        <v>254</v>
      </c>
      <c r="G71" s="130"/>
      <c r="H71" s="339"/>
      <c r="I71" s="35"/>
      <c r="J71" s="35"/>
      <c r="K71" s="35"/>
      <c r="L71" s="35"/>
      <c r="M71" s="35"/>
      <c r="N71" s="35"/>
      <c r="O71" s="329">
        <v>4</v>
      </c>
      <c r="P71" s="340" t="s">
        <v>255</v>
      </c>
      <c r="U71" s="341">
        <v>1</v>
      </c>
      <c r="V71" s="341">
        <v>1</v>
      </c>
      <c r="W71" s="341">
        <v>0.67</v>
      </c>
      <c r="X71" s="342">
        <v>0.67</v>
      </c>
      <c r="AX71" s="326"/>
      <c r="AY71" s="326"/>
      <c r="BF71" s="15"/>
      <c r="BG71" s="15"/>
      <c r="BH71" s="15"/>
      <c r="BI71" s="16"/>
      <c r="BJ71" s="16"/>
      <c r="BK71" s="16"/>
      <c r="BL71" s="16"/>
    </row>
    <row r="72" spans="1:64" ht="15" customHeight="1" x14ac:dyDescent="0.25">
      <c r="A72" s="1"/>
      <c r="B72" s="1"/>
      <c r="C72" s="1"/>
      <c r="D72" s="1"/>
      <c r="E72" s="1"/>
      <c r="F72" s="74" t="s">
        <v>256</v>
      </c>
      <c r="G72" s="343">
        <f>$K$50</f>
        <v>0.6</v>
      </c>
      <c r="H72" s="339"/>
      <c r="I72" s="35"/>
      <c r="J72" s="35"/>
      <c r="K72" s="35"/>
      <c r="L72" s="35"/>
      <c r="M72" s="344"/>
      <c r="N72" s="35"/>
      <c r="O72" s="329">
        <v>5</v>
      </c>
      <c r="P72" s="340" t="s">
        <v>257</v>
      </c>
      <c r="U72" s="345">
        <v>1</v>
      </c>
      <c r="V72" s="341">
        <v>1</v>
      </c>
      <c r="W72" s="224">
        <v>0.67</v>
      </c>
      <c r="X72" s="332">
        <v>1</v>
      </c>
      <c r="AX72" s="326"/>
      <c r="AY72" s="326"/>
      <c r="BF72" s="15"/>
      <c r="BG72" s="15"/>
      <c r="BH72" s="15"/>
      <c r="BI72" s="16"/>
      <c r="BJ72" s="16"/>
      <c r="BK72" s="16"/>
      <c r="BL72" s="16"/>
    </row>
    <row r="73" spans="1:64" ht="15" customHeight="1" x14ac:dyDescent="0.25">
      <c r="A73" s="1"/>
      <c r="B73" s="1"/>
      <c r="C73" s="1"/>
      <c r="D73" s="1"/>
      <c r="E73" s="1"/>
      <c r="F73" s="346" t="s">
        <v>258</v>
      </c>
      <c r="G73" s="343">
        <f>VLOOKUP(LEFT(H5),R25:X29,4,FALSE)</f>
        <v>1.45</v>
      </c>
      <c r="H73" s="35"/>
      <c r="I73" s="35"/>
      <c r="J73" s="35"/>
      <c r="K73" s="35"/>
      <c r="L73" s="35"/>
      <c r="M73" s="35"/>
      <c r="N73" s="35"/>
      <c r="O73" s="329">
        <v>6</v>
      </c>
      <c r="P73" s="330" t="s">
        <v>259</v>
      </c>
      <c r="Q73" s="347" t="s">
        <v>260</v>
      </c>
      <c r="R73" s="348" t="s">
        <v>260</v>
      </c>
      <c r="S73" s="348" t="s">
        <v>260</v>
      </c>
      <c r="T73" s="348" t="s">
        <v>260</v>
      </c>
      <c r="U73" s="341">
        <f>W73</f>
        <v>354.98666666666668</v>
      </c>
      <c r="V73" s="341">
        <f>W73</f>
        <v>354.98666666666668</v>
      </c>
      <c r="W73" s="341">
        <f>IF(I86=0,E85,0.78*H8^2/(I86*1000*H9)*I87)</f>
        <v>354.98666666666668</v>
      </c>
      <c r="X73" s="342">
        <f>W73</f>
        <v>354.98666666666668</v>
      </c>
      <c r="Y73" s="337" t="s">
        <v>261</v>
      </c>
      <c r="Z73" s="337" t="s">
        <v>261</v>
      </c>
      <c r="AA73" s="337" t="s">
        <v>261</v>
      </c>
      <c r="AB73" s="337" t="s">
        <v>262</v>
      </c>
      <c r="AX73" s="326"/>
      <c r="AY73" s="326"/>
      <c r="BF73" s="15"/>
      <c r="BG73" s="15"/>
      <c r="BH73" s="15"/>
      <c r="BI73" s="16"/>
      <c r="BJ73" s="16"/>
      <c r="BK73" s="16"/>
      <c r="BL73" s="16"/>
    </row>
    <row r="74" spans="1:64" ht="15" customHeight="1" x14ac:dyDescent="0.35">
      <c r="A74" s="1"/>
      <c r="B74" s="1"/>
      <c r="C74" s="1"/>
      <c r="D74" s="1"/>
      <c r="E74" s="1"/>
      <c r="F74" s="349" t="s">
        <v>263</v>
      </c>
      <c r="G74" s="350">
        <f>G72/G73</f>
        <v>0.41379310344827586</v>
      </c>
      <c r="H74" s="35"/>
      <c r="I74" s="351"/>
      <c r="J74" s="352"/>
      <c r="K74" s="279"/>
      <c r="L74" s="35"/>
      <c r="M74" s="35"/>
      <c r="N74" s="35"/>
      <c r="O74" s="329">
        <v>7</v>
      </c>
      <c r="P74" s="330" t="s">
        <v>264</v>
      </c>
      <c r="Q74" s="353" t="s">
        <v>265</v>
      </c>
      <c r="R74" s="354" t="s">
        <v>266</v>
      </c>
      <c r="S74" s="354" t="s">
        <v>266</v>
      </c>
      <c r="T74" s="354" t="s">
        <v>266</v>
      </c>
      <c r="U74" s="345">
        <f>IF(I24=0,0,MAX(MIN((2.38-I24/250)*(1+H9/(12*I24)),4),1))</f>
        <v>1.6589999999999998</v>
      </c>
      <c r="V74" s="341">
        <f>W74</f>
        <v>1.75</v>
      </c>
      <c r="W74" s="224">
        <f>IF(IF(OR($H$19&lt;&gt;0,$H$21&lt;&gt;0),($H$10*1000-$I$24)/2,$H$10*1000-$I$24)/$H$9&gt;=2,HLOOKUP($G$25,$Z$38:$AA$41,$E$93+2,FALSE),1)</f>
        <v>1.75</v>
      </c>
      <c r="X74" s="332">
        <v>1</v>
      </c>
      <c r="Y74" s="337" t="s">
        <v>267</v>
      </c>
      <c r="Z74" s="337" t="s">
        <v>268</v>
      </c>
      <c r="AA74" s="337" t="s">
        <v>268</v>
      </c>
      <c r="AB74" s="337"/>
      <c r="AX74" s="326"/>
      <c r="AY74" s="326"/>
      <c r="BF74" s="15"/>
      <c r="BG74" s="15"/>
      <c r="BH74" s="15"/>
      <c r="BI74" s="16"/>
      <c r="BJ74" s="16"/>
      <c r="BK74" s="16"/>
      <c r="BL74" s="16"/>
    </row>
    <row r="75" spans="1:64" ht="15" customHeight="1" x14ac:dyDescent="0.35">
      <c r="A75" s="1"/>
      <c r="B75" s="1"/>
      <c r="C75" s="1"/>
      <c r="D75" s="1"/>
      <c r="E75" s="1"/>
      <c r="F75" s="75"/>
      <c r="G75" s="355"/>
      <c r="H75" s="35"/>
      <c r="I75" s="351"/>
      <c r="J75" s="352"/>
      <c r="K75" s="279"/>
      <c r="L75" s="35"/>
      <c r="M75" s="35"/>
      <c r="N75" s="35"/>
      <c r="O75" s="329">
        <v>8</v>
      </c>
      <c r="P75" s="337" t="s">
        <v>269</v>
      </c>
      <c r="Q75" s="354" t="s">
        <v>270</v>
      </c>
      <c r="R75" s="354" t="s">
        <v>270</v>
      </c>
      <c r="S75" s="354" t="s">
        <v>270</v>
      </c>
      <c r="T75" s="354" t="s">
        <v>270</v>
      </c>
      <c r="U75" s="356">
        <f>I24+(H9/3+MIN(I26,H9/3))*0</f>
        <v>200</v>
      </c>
      <c r="V75" s="341">
        <f>W75</f>
        <v>230</v>
      </c>
      <c r="W75" s="224">
        <f>IF($I$26&lt;&gt;0,MIN(30,$I$26,(1000*$H$10-$I$24)/2,$I$24),MIN(30,(1000*$H$10-$I$24)/2,$I$24))*IF($G$24="intermedio",2,1)+$I$24</f>
        <v>230</v>
      </c>
      <c r="X75" s="356">
        <f>MIN(400,1.5*I24,I24+1/6*H9)</f>
        <v>220</v>
      </c>
      <c r="Y75" s="337" t="s">
        <v>267</v>
      </c>
      <c r="Z75" s="337" t="s">
        <v>268</v>
      </c>
      <c r="AA75" s="337" t="s">
        <v>268</v>
      </c>
      <c r="AB75" s="337" t="s">
        <v>271</v>
      </c>
      <c r="AX75" s="326"/>
      <c r="AY75" s="326"/>
      <c r="BF75" s="15"/>
      <c r="BG75" s="15"/>
      <c r="BH75" s="15"/>
      <c r="BI75" s="16"/>
      <c r="BJ75" s="16"/>
      <c r="BK75" s="16"/>
      <c r="BL75" s="16"/>
    </row>
    <row r="76" spans="1:64" ht="15" customHeight="1" x14ac:dyDescent="0.25">
      <c r="A76" s="1"/>
      <c r="B76" s="1"/>
      <c r="C76" s="1"/>
      <c r="D76" s="1"/>
      <c r="E76" s="1"/>
      <c r="F76" s="69" t="s">
        <v>272</v>
      </c>
      <c r="G76" s="178"/>
      <c r="H76" s="357"/>
      <c r="I76" s="357"/>
      <c r="J76" s="35"/>
      <c r="K76" s="35"/>
      <c r="L76" s="35"/>
      <c r="M76" s="35"/>
      <c r="N76" s="178"/>
      <c r="O76" s="329">
        <v>9</v>
      </c>
      <c r="P76" s="358" t="s">
        <v>273</v>
      </c>
      <c r="Q76" s="358"/>
      <c r="R76" s="358"/>
      <c r="S76" s="358"/>
      <c r="T76" s="358"/>
      <c r="U76" s="359"/>
      <c r="V76" s="359"/>
      <c r="W76" s="359"/>
      <c r="X76" s="359"/>
      <c r="Y76" s="337"/>
      <c r="Z76" s="337"/>
      <c r="AA76" s="337"/>
      <c r="AB76" s="337"/>
      <c r="AX76" s="326"/>
      <c r="AY76" s="326"/>
      <c r="BF76" s="15"/>
      <c r="BG76" s="15"/>
      <c r="BH76" s="15"/>
      <c r="BI76" s="16"/>
      <c r="BJ76" s="16"/>
      <c r="BK76" s="16"/>
      <c r="BL76" s="16"/>
    </row>
    <row r="77" spans="1:64" ht="15" customHeight="1" x14ac:dyDescent="0.25">
      <c r="A77" s="1"/>
      <c r="B77" s="1"/>
      <c r="C77" s="1"/>
      <c r="D77" s="1"/>
      <c r="E77" s="1"/>
      <c r="F77" s="178" t="s">
        <v>274</v>
      </c>
      <c r="G77" s="178"/>
      <c r="H77" s="149">
        <f>G29*$M$13*G74</f>
        <v>10.924137931034483</v>
      </c>
      <c r="I77" s="75" t="s">
        <v>26</v>
      </c>
      <c r="J77" s="35"/>
      <c r="K77" s="35"/>
      <c r="L77" s="35"/>
      <c r="M77" s="35"/>
      <c r="N77" s="178"/>
      <c r="O77" s="329">
        <v>10</v>
      </c>
      <c r="P77" s="358" t="s">
        <v>275</v>
      </c>
      <c r="Q77" s="358"/>
      <c r="R77" s="358"/>
      <c r="S77" s="358"/>
      <c r="T77" s="358"/>
      <c r="U77" s="359"/>
      <c r="V77" s="359"/>
      <c r="W77" s="359"/>
      <c r="X77" s="359"/>
      <c r="Y77" s="337"/>
      <c r="Z77" s="337"/>
      <c r="AA77" s="337"/>
      <c r="AB77" s="337"/>
      <c r="AX77" s="326"/>
      <c r="AY77" s="326"/>
      <c r="BF77" s="15"/>
      <c r="BG77" s="15"/>
      <c r="BH77" s="15"/>
      <c r="BI77" s="16"/>
      <c r="BJ77" s="16"/>
      <c r="BK77" s="16"/>
      <c r="BL77" s="16"/>
    </row>
    <row r="78" spans="1:64" ht="15" customHeight="1" x14ac:dyDescent="0.25">
      <c r="A78" s="1"/>
      <c r="B78" s="1"/>
      <c r="C78" s="1"/>
      <c r="D78" s="1"/>
      <c r="E78" s="1"/>
      <c r="F78" s="178" t="s">
        <v>276</v>
      </c>
      <c r="G78" s="75"/>
      <c r="H78" s="149">
        <f>$M$18*G74</f>
        <v>1.4482758620689655</v>
      </c>
      <c r="I78" s="75" t="s">
        <v>26</v>
      </c>
      <c r="J78" s="35"/>
      <c r="K78" s="35"/>
      <c r="L78" s="35"/>
      <c r="M78" s="35"/>
      <c r="N78" s="35"/>
      <c r="O78" s="329">
        <v>11</v>
      </c>
      <c r="P78" s="358" t="s">
        <v>277</v>
      </c>
      <c r="Q78" s="360"/>
      <c r="R78" s="360"/>
      <c r="S78" s="360"/>
      <c r="T78" s="358"/>
      <c r="U78" s="359"/>
      <c r="V78" s="359"/>
      <c r="W78" s="359"/>
      <c r="X78" s="359"/>
      <c r="Y78" s="336"/>
      <c r="Z78" s="336"/>
      <c r="AA78" s="336"/>
      <c r="AB78" s="337"/>
      <c r="AX78" s="326"/>
      <c r="AY78" s="326"/>
      <c r="BF78" s="15"/>
      <c r="BG78" s="15"/>
      <c r="BH78" s="15"/>
      <c r="BI78" s="16"/>
      <c r="BJ78" s="16"/>
      <c r="BK78" s="16"/>
      <c r="BL78" s="16"/>
    </row>
    <row r="79" spans="1:64" ht="15" customHeight="1" x14ac:dyDescent="0.25">
      <c r="A79" s="1"/>
      <c r="B79" s="1"/>
      <c r="C79" s="1"/>
      <c r="D79" s="1"/>
      <c r="E79" s="1"/>
      <c r="F79" s="178" t="s">
        <v>278</v>
      </c>
      <c r="G79" s="75"/>
      <c r="H79" s="149">
        <f>$M$17*G74</f>
        <v>1.0344827586206897</v>
      </c>
      <c r="I79" s="75" t="s">
        <v>26</v>
      </c>
      <c r="J79" s="35"/>
      <c r="K79" s="35"/>
      <c r="L79" s="35"/>
      <c r="M79" s="35"/>
      <c r="N79" s="35"/>
      <c r="O79" s="329">
        <v>12</v>
      </c>
      <c r="P79" s="358" t="s">
        <v>279</v>
      </c>
      <c r="Q79" s="360"/>
      <c r="R79" s="360"/>
      <c r="S79" s="360"/>
      <c r="T79" s="358"/>
      <c r="U79" s="359"/>
      <c r="V79" s="359"/>
      <c r="W79" s="359"/>
      <c r="X79" s="359"/>
      <c r="Y79" s="361"/>
      <c r="Z79" s="361"/>
      <c r="AA79" s="361"/>
      <c r="AB79" s="337"/>
      <c r="AX79" s="326"/>
      <c r="AY79" s="326"/>
      <c r="BF79" s="15"/>
      <c r="BG79" s="15"/>
      <c r="BH79" s="15"/>
      <c r="BI79" s="16"/>
      <c r="BJ79" s="16"/>
      <c r="BK79" s="16"/>
      <c r="BL79" s="16"/>
    </row>
    <row r="80" spans="1:64" ht="15" customHeight="1" x14ac:dyDescent="0.25">
      <c r="A80" s="1"/>
      <c r="B80" s="1"/>
      <c r="C80" s="1"/>
      <c r="D80" s="1"/>
      <c r="E80" s="1"/>
      <c r="F80" s="178"/>
      <c r="G80" s="75"/>
      <c r="H80" s="149"/>
      <c r="I80" s="75"/>
      <c r="J80" s="35"/>
      <c r="K80" s="35"/>
      <c r="L80" s="35"/>
      <c r="M80" s="35"/>
      <c r="N80" s="35"/>
      <c r="O80" s="329">
        <v>13</v>
      </c>
      <c r="P80" s="358" t="s">
        <v>280</v>
      </c>
      <c r="Q80" s="358"/>
      <c r="R80" s="358"/>
      <c r="S80" s="358"/>
      <c r="T80" s="358"/>
      <c r="U80" s="359"/>
      <c r="V80" s="359"/>
      <c r="W80" s="359"/>
      <c r="X80" s="359"/>
      <c r="Y80" s="337"/>
      <c r="Z80" s="337"/>
      <c r="AA80" s="337"/>
      <c r="AB80" s="337"/>
      <c r="AX80" s="326"/>
      <c r="AY80" s="326"/>
      <c r="BF80" s="15"/>
      <c r="BG80" s="15"/>
      <c r="BH80" s="15"/>
      <c r="BI80" s="16"/>
      <c r="BJ80" s="16"/>
      <c r="BK80" s="16"/>
      <c r="BL80" s="16"/>
    </row>
    <row r="81" spans="1:64" ht="15" customHeight="1" x14ac:dyDescent="0.25">
      <c r="A81" s="1"/>
      <c r="B81" s="1"/>
      <c r="C81" s="1"/>
      <c r="D81" s="1"/>
      <c r="E81" s="1"/>
      <c r="F81" s="146" t="s">
        <v>281</v>
      </c>
      <c r="G81" s="35"/>
      <c r="H81" s="35"/>
      <c r="I81" s="35"/>
      <c r="J81" s="362"/>
      <c r="K81" s="35"/>
      <c r="L81" s="35"/>
      <c r="M81" s="35"/>
      <c r="N81" s="35"/>
      <c r="O81" s="329">
        <v>14</v>
      </c>
      <c r="P81" s="358" t="s">
        <v>282</v>
      </c>
      <c r="Q81" s="360"/>
      <c r="R81" s="360"/>
      <c r="S81" s="360"/>
      <c r="T81" s="358"/>
      <c r="U81" s="359"/>
      <c r="V81" s="359"/>
      <c r="W81" s="359"/>
      <c r="X81" s="359"/>
      <c r="Y81" s="336"/>
      <c r="Z81" s="336"/>
      <c r="AA81" s="336"/>
      <c r="AB81" s="337"/>
      <c r="AX81" s="326"/>
      <c r="AY81" s="326"/>
      <c r="BF81" s="15"/>
      <c r="BG81" s="15"/>
      <c r="BH81" s="15"/>
      <c r="BI81" s="16"/>
      <c r="BJ81" s="16"/>
      <c r="BK81" s="16"/>
      <c r="BL81" s="16"/>
    </row>
    <row r="82" spans="1:64" ht="15" customHeight="1" x14ac:dyDescent="0.25">
      <c r="A82" s="1"/>
      <c r="B82" s="1"/>
      <c r="C82" s="1"/>
      <c r="D82" s="1"/>
      <c r="E82" s="1"/>
      <c r="F82" s="75" t="s">
        <v>283</v>
      </c>
      <c r="G82" s="178"/>
      <c r="H82" s="35"/>
      <c r="I82" s="331">
        <f>IF(I83&lt;0.75,1,IF(I83&gt;1.4,(1/I83)^2,1.56-0.75*I83))</f>
        <v>1</v>
      </c>
      <c r="J82" s="357"/>
      <c r="K82" s="75" t="str">
        <f>"secondo (4.4.12) di "&amp;$G$3&amp;""</f>
        <v>secondo (4.4.12) di NTC 17/01/2018</v>
      </c>
      <c r="L82" s="321"/>
      <c r="M82" s="363"/>
      <c r="N82" s="75"/>
      <c r="O82" s="329">
        <v>15</v>
      </c>
      <c r="P82" s="360" t="s">
        <v>284</v>
      </c>
      <c r="Q82" s="324" t="s">
        <v>285</v>
      </c>
      <c r="R82" s="324" t="s">
        <v>285</v>
      </c>
      <c r="S82" s="324" t="s">
        <v>285</v>
      </c>
      <c r="T82" s="324" t="s">
        <v>251</v>
      </c>
      <c r="AX82" s="326"/>
      <c r="AY82" s="326"/>
      <c r="BF82" s="15"/>
      <c r="BG82" s="15"/>
      <c r="BH82" s="15"/>
      <c r="BI82" s="16"/>
      <c r="BJ82" s="16"/>
      <c r="BK82" s="16"/>
      <c r="BL82" s="16"/>
    </row>
    <row r="83" spans="1:64" ht="15" customHeight="1" x14ac:dyDescent="0.25">
      <c r="A83" s="1"/>
      <c r="B83" s="1"/>
      <c r="C83" s="1"/>
      <c r="D83" s="1"/>
      <c r="E83" s="1"/>
      <c r="F83" s="364" t="s">
        <v>286</v>
      </c>
      <c r="G83" s="178"/>
      <c r="H83" s="35"/>
      <c r="I83" s="331">
        <f>IF(I86=0,0,(I84/I85)^0.5)</f>
        <v>0.27270678463253423</v>
      </c>
      <c r="J83" s="357"/>
      <c r="K83" s="178" t="s">
        <v>287</v>
      </c>
      <c r="L83" s="35"/>
      <c r="M83" s="35"/>
      <c r="N83" s="178"/>
      <c r="O83" s="329">
        <v>16</v>
      </c>
      <c r="P83" s="330" t="s">
        <v>259</v>
      </c>
      <c r="Q83" s="348" t="s">
        <v>288</v>
      </c>
      <c r="R83" s="348" t="s">
        <v>288</v>
      </c>
      <c r="S83" s="348" t="s">
        <v>288</v>
      </c>
      <c r="T83" s="348" t="s">
        <v>288</v>
      </c>
      <c r="U83" s="365">
        <f>W83</f>
        <v>303.09680191846525</v>
      </c>
      <c r="V83" s="341">
        <f>W83</f>
        <v>303.09680191846525</v>
      </c>
      <c r="W83" s="365">
        <f>IF(L200=0,E205,0.78*H184^2/(I206*1000*H185)*I207)</f>
        <v>303.09680191846525</v>
      </c>
      <c r="X83" s="365">
        <f>W83</f>
        <v>303.09680191846525</v>
      </c>
      <c r="Y83" s="337" t="s">
        <v>261</v>
      </c>
      <c r="Z83" s="337" t="s">
        <v>261</v>
      </c>
      <c r="AA83" s="337" t="s">
        <v>261</v>
      </c>
      <c r="AB83" s="337" t="s">
        <v>262</v>
      </c>
      <c r="AX83" s="326"/>
      <c r="AY83" s="326"/>
      <c r="BF83" s="15"/>
      <c r="BG83" s="15"/>
      <c r="BH83" s="15"/>
      <c r="BI83" s="16"/>
      <c r="BJ83" s="16"/>
      <c r="BK83" s="16"/>
      <c r="BL83" s="16"/>
    </row>
    <row r="84" spans="1:64" ht="15" customHeight="1" x14ac:dyDescent="0.35">
      <c r="A84" s="1"/>
      <c r="B84" s="1"/>
      <c r="C84" s="1"/>
      <c r="D84" s="1"/>
      <c r="E84" s="1"/>
      <c r="F84" s="75" t="s">
        <v>289</v>
      </c>
      <c r="G84" s="35"/>
      <c r="H84" s="35"/>
      <c r="I84" s="202">
        <f>G29*$M$13</f>
        <v>26.400000000000002</v>
      </c>
      <c r="J84" s="357" t="s">
        <v>26</v>
      </c>
      <c r="K84" s="75" t="s">
        <v>290</v>
      </c>
      <c r="L84" s="35"/>
      <c r="M84" s="35"/>
      <c r="N84" s="178"/>
      <c r="O84" s="329">
        <v>17</v>
      </c>
      <c r="P84" s="330" t="s">
        <v>264</v>
      </c>
      <c r="Q84" s="366" t="s">
        <v>265</v>
      </c>
      <c r="R84" s="354" t="s">
        <v>266</v>
      </c>
      <c r="S84" s="354" t="s">
        <v>266</v>
      </c>
      <c r="T84" s="354" t="s">
        <v>266</v>
      </c>
      <c r="U84" s="367">
        <f>IF(I24=0,0,MAX(MIN((2.38-I24/250)*(1+H185/(12*I24)),4),1))</f>
        <v>1.6486312499999998</v>
      </c>
      <c r="V84" s="341">
        <f>W84</f>
        <v>1.75</v>
      </c>
      <c r="W84" s="367">
        <f>IF(IF(OR($H$19&lt;&gt;0,$H$21&lt;&gt;0),($H$10*1000-$I$24)/2,$H$10*1000-$I$24)/$H$185&gt;=2,HLOOKUP($G$25,$Z$38:$AA$41,$E$93+2,FALSE),1)</f>
        <v>1.75</v>
      </c>
      <c r="X84" s="367">
        <v>1</v>
      </c>
      <c r="Y84" s="337" t="s">
        <v>267</v>
      </c>
      <c r="Z84" s="337" t="s">
        <v>268</v>
      </c>
      <c r="AA84" s="337" t="s">
        <v>268</v>
      </c>
      <c r="AB84" s="337"/>
      <c r="BF84" s="15"/>
      <c r="BG84" s="15"/>
      <c r="BH84" s="15"/>
      <c r="BI84" s="16"/>
      <c r="BJ84" s="16"/>
      <c r="BK84" s="16"/>
      <c r="BL84" s="16"/>
    </row>
    <row r="85" spans="1:64" ht="15" customHeight="1" x14ac:dyDescent="0.35">
      <c r="A85" s="1"/>
      <c r="B85" s="1"/>
      <c r="C85" s="1"/>
      <c r="D85" s="368" t="s">
        <v>291</v>
      </c>
      <c r="E85" s="108" t="s">
        <v>292</v>
      </c>
      <c r="F85" s="364" t="s">
        <v>293</v>
      </c>
      <c r="G85" s="35"/>
      <c r="H85" s="35"/>
      <c r="I85" s="363">
        <f>HLOOKUP(H3,$U$68:$X$85,O73,FALSE)</f>
        <v>354.98666666666668</v>
      </c>
      <c r="J85" s="357" t="s">
        <v>26</v>
      </c>
      <c r="K85" s="178" t="s">
        <v>294</v>
      </c>
      <c r="L85" s="35"/>
      <c r="M85" s="35"/>
      <c r="N85" s="35"/>
      <c r="O85" s="329">
        <v>18</v>
      </c>
      <c r="P85" s="337" t="s">
        <v>269</v>
      </c>
      <c r="Q85" s="354" t="s">
        <v>270</v>
      </c>
      <c r="R85" s="354" t="s">
        <v>270</v>
      </c>
      <c r="S85" s="354" t="s">
        <v>270</v>
      </c>
      <c r="T85" s="354" t="s">
        <v>270</v>
      </c>
      <c r="U85" s="365">
        <f>I24+(H185/3+MIN(I26,H185/3))*0</f>
        <v>200</v>
      </c>
      <c r="V85" s="341">
        <f>W85</f>
        <v>230</v>
      </c>
      <c r="W85" s="365">
        <f>IF($I$26&lt;&gt;0,MIN(30,$I$26,(1000*$H$10-$I$24)/2,$I$24),MIN(30,(1000*$H$10-$I$24)/2,$I$24))*IF($G$24="intermedio",2,1)+$I$24</f>
        <v>230</v>
      </c>
      <c r="X85" s="365">
        <f>MIN(400,1.5*I24,I24+1/6*H185)</f>
        <v>217.375</v>
      </c>
      <c r="Y85" s="337" t="s">
        <v>267</v>
      </c>
      <c r="Z85" s="337" t="s">
        <v>268</v>
      </c>
      <c r="AA85" s="337" t="s">
        <v>268</v>
      </c>
      <c r="AB85" s="337" t="s">
        <v>271</v>
      </c>
      <c r="BF85" s="15"/>
      <c r="BG85" s="15"/>
      <c r="BH85" s="15"/>
      <c r="BI85" s="16"/>
      <c r="BJ85" s="16"/>
      <c r="BK85" s="16"/>
      <c r="BL85" s="16"/>
    </row>
    <row r="86" spans="1:64" ht="15" customHeight="1" x14ac:dyDescent="0.25">
      <c r="A86" s="1"/>
      <c r="B86" s="1"/>
      <c r="C86" s="1"/>
      <c r="D86" s="1">
        <f>IF(I86=0,E85,(PI()*$H$8^2/(I86*1000*H9))*I87*(I88/I89)^0.5)</f>
        <v>339.91870956250108</v>
      </c>
      <c r="E86" s="1"/>
      <c r="F86" s="369" t="s">
        <v>95</v>
      </c>
      <c r="G86" s="35"/>
      <c r="H86" s="35"/>
      <c r="I86" s="363">
        <f>K20</f>
        <v>4.5</v>
      </c>
      <c r="J86" s="357" t="s">
        <v>60</v>
      </c>
      <c r="K86" s="75" t="s">
        <v>295</v>
      </c>
      <c r="L86" s="35"/>
      <c r="M86" s="35"/>
      <c r="N86" s="35"/>
      <c r="O86" s="329">
        <v>19</v>
      </c>
      <c r="P86" s="358" t="s">
        <v>273</v>
      </c>
      <c r="Q86" s="358"/>
      <c r="R86" s="358"/>
      <c r="S86" s="358"/>
      <c r="T86" s="358"/>
      <c r="U86" s="359"/>
      <c r="V86" s="359"/>
      <c r="W86" s="359"/>
      <c r="X86" s="359"/>
      <c r="Y86" s="337"/>
      <c r="Z86" s="337"/>
      <c r="AA86" s="337"/>
      <c r="AB86" s="337"/>
      <c r="BF86" s="15"/>
      <c r="BG86" s="15"/>
      <c r="BH86" s="15"/>
      <c r="BI86" s="16"/>
      <c r="BJ86" s="16"/>
      <c r="BK86" s="16"/>
      <c r="BL86" s="16"/>
    </row>
    <row r="87" spans="1:64" ht="15" customHeight="1" x14ac:dyDescent="0.25">
      <c r="A87" s="1"/>
      <c r="B87" s="1"/>
      <c r="C87" s="1"/>
      <c r="D87" s="1"/>
      <c r="E87" s="1"/>
      <c r="F87" s="178" t="s">
        <v>296</v>
      </c>
      <c r="G87" s="178"/>
      <c r="H87" s="178"/>
      <c r="I87" s="179">
        <f>$M$9</f>
        <v>9600</v>
      </c>
      <c r="J87" s="357" t="s">
        <v>26</v>
      </c>
      <c r="K87" s="75" t="s">
        <v>297</v>
      </c>
      <c r="L87" s="178"/>
      <c r="M87" s="178"/>
      <c r="N87" s="178"/>
      <c r="O87" s="329">
        <v>20</v>
      </c>
      <c r="P87" s="358" t="s">
        <v>275</v>
      </c>
      <c r="Q87" s="358"/>
      <c r="R87" s="358"/>
      <c r="S87" s="358"/>
      <c r="T87" s="358"/>
      <c r="U87" s="359"/>
      <c r="V87" s="359"/>
      <c r="W87" s="359"/>
      <c r="X87" s="359"/>
      <c r="Y87" s="337"/>
      <c r="Z87" s="337"/>
      <c r="AA87" s="337"/>
      <c r="AB87" s="337"/>
      <c r="BF87" s="15"/>
      <c r="BG87" s="15"/>
      <c r="BH87" s="15"/>
      <c r="BI87" s="16"/>
      <c r="BJ87" s="16"/>
      <c r="BK87" s="16"/>
      <c r="BL87" s="16"/>
    </row>
    <row r="88" spans="1:64" ht="15" customHeight="1" x14ac:dyDescent="0.25">
      <c r="A88" s="1"/>
      <c r="B88" s="1"/>
      <c r="C88" s="1"/>
      <c r="D88" s="1"/>
      <c r="E88" s="1"/>
      <c r="F88" s="178" t="s">
        <v>298</v>
      </c>
      <c r="G88" s="178"/>
      <c r="H88" s="178"/>
      <c r="I88" s="179">
        <f>$M$11</f>
        <v>650</v>
      </c>
      <c r="J88" s="357" t="s">
        <v>26</v>
      </c>
      <c r="K88" s="75" t="s">
        <v>66</v>
      </c>
      <c r="L88" s="178"/>
      <c r="M88" s="178"/>
      <c r="N88" s="178"/>
      <c r="O88" s="329">
        <v>21</v>
      </c>
      <c r="P88" s="358" t="s">
        <v>277</v>
      </c>
      <c r="Q88" s="360"/>
      <c r="R88" s="360"/>
      <c r="S88" s="360"/>
      <c r="T88" s="358"/>
      <c r="U88" s="359"/>
      <c r="V88" s="359"/>
      <c r="W88" s="359"/>
      <c r="X88" s="359"/>
      <c r="Y88" s="336"/>
      <c r="Z88" s="336"/>
      <c r="AA88" s="336"/>
      <c r="AB88" s="337"/>
      <c r="BF88" s="15"/>
      <c r="BG88" s="15"/>
      <c r="BH88" s="15"/>
      <c r="BI88" s="16"/>
      <c r="BJ88" s="16"/>
      <c r="BK88" s="16"/>
      <c r="BL88" s="16"/>
    </row>
    <row r="89" spans="1:64" ht="15" customHeight="1" x14ac:dyDescent="0.25">
      <c r="A89" s="1"/>
      <c r="E89" s="1"/>
      <c r="F89" s="178" t="s">
        <v>299</v>
      </c>
      <c r="G89" s="35"/>
      <c r="H89" s="35"/>
      <c r="I89" s="179">
        <f>$M$8</f>
        <v>11500</v>
      </c>
      <c r="J89" s="357" t="s">
        <v>26</v>
      </c>
      <c r="K89" s="75" t="s">
        <v>300</v>
      </c>
      <c r="L89" s="35"/>
      <c r="M89" s="35"/>
      <c r="N89" s="35"/>
      <c r="O89" s="329">
        <v>22</v>
      </c>
      <c r="P89" s="358" t="s">
        <v>279</v>
      </c>
      <c r="Q89" s="360"/>
      <c r="R89" s="360"/>
      <c r="S89" s="360"/>
      <c r="T89" s="358"/>
      <c r="U89" s="359"/>
      <c r="V89" s="359"/>
      <c r="W89" s="359"/>
      <c r="X89" s="359"/>
      <c r="Y89" s="361"/>
      <c r="Z89" s="361"/>
      <c r="AA89" s="361"/>
      <c r="AB89" s="337"/>
      <c r="BF89" s="15"/>
      <c r="BG89" s="15"/>
      <c r="BH89" s="15"/>
      <c r="BI89" s="16"/>
      <c r="BJ89" s="16"/>
      <c r="BK89" s="16"/>
      <c r="BL89" s="16"/>
    </row>
    <row r="90" spans="1:64" ht="15" customHeight="1" x14ac:dyDescent="0.25">
      <c r="A90" s="1"/>
      <c r="B90" s="1"/>
      <c r="C90" s="1"/>
      <c r="D90" s="1"/>
      <c r="E90" s="1"/>
      <c r="F90" s="35"/>
      <c r="G90" s="35"/>
      <c r="H90" s="35"/>
      <c r="I90" s="35"/>
      <c r="J90" s="35"/>
      <c r="K90" s="35"/>
      <c r="L90" s="146"/>
      <c r="M90" s="35"/>
      <c r="N90" s="35"/>
      <c r="O90" s="329">
        <v>23</v>
      </c>
      <c r="P90" s="358" t="s">
        <v>280</v>
      </c>
      <c r="Q90" s="358"/>
      <c r="R90" s="358"/>
      <c r="S90" s="358"/>
      <c r="T90" s="358"/>
      <c r="U90" s="359"/>
      <c r="V90" s="359"/>
      <c r="W90" s="359"/>
      <c r="X90" s="359"/>
      <c r="Y90" s="337"/>
      <c r="Z90" s="337"/>
      <c r="AA90" s="337"/>
      <c r="AB90" s="337"/>
      <c r="BF90" s="15"/>
      <c r="BG90" s="15"/>
      <c r="BH90" s="15"/>
      <c r="BI90" s="16"/>
      <c r="BJ90" s="16"/>
      <c r="BK90" s="16"/>
      <c r="BL90" s="16"/>
    </row>
    <row r="91" spans="1:64" ht="15" customHeight="1" x14ac:dyDescent="0.25">
      <c r="A91" s="1"/>
      <c r="B91" s="1"/>
      <c r="C91" s="1"/>
      <c r="D91" s="58"/>
      <c r="E91" s="58"/>
      <c r="F91" s="146" t="s">
        <v>301</v>
      </c>
      <c r="G91" s="33"/>
      <c r="H91" s="33"/>
      <c r="I91" s="33"/>
      <c r="J91" s="33"/>
      <c r="K91" s="33"/>
      <c r="L91" s="33"/>
      <c r="M91" s="33"/>
      <c r="N91" s="178"/>
      <c r="O91" s="329">
        <v>24</v>
      </c>
      <c r="P91" s="358" t="s">
        <v>282</v>
      </c>
      <c r="Q91" s="360"/>
      <c r="R91" s="360"/>
      <c r="S91" s="360"/>
      <c r="T91" s="358"/>
      <c r="U91" s="359"/>
      <c r="V91" s="359"/>
      <c r="W91" s="359"/>
      <c r="X91" s="359"/>
      <c r="Y91" s="336"/>
      <c r="Z91" s="336"/>
      <c r="AA91" s="336"/>
      <c r="AB91" s="337"/>
      <c r="BF91" s="15"/>
      <c r="BG91" s="15"/>
      <c r="BH91" s="15"/>
      <c r="BI91" s="16"/>
      <c r="BJ91" s="16"/>
      <c r="BK91" s="16"/>
      <c r="BL91" s="16"/>
    </row>
    <row r="92" spans="1:64" ht="15" customHeight="1" x14ac:dyDescent="0.4">
      <c r="A92" s="1"/>
      <c r="B92" s="1"/>
      <c r="C92" s="1"/>
      <c r="D92" s="370"/>
      <c r="E92" s="370"/>
      <c r="F92" s="33" t="s">
        <v>302</v>
      </c>
      <c r="G92" s="35"/>
      <c r="H92" s="35"/>
      <c r="I92" s="371">
        <f>HLOOKUP(H3,$U$68:$X$85,O75,FALSE)</f>
        <v>230</v>
      </c>
      <c r="J92" s="178" t="s">
        <v>23</v>
      </c>
      <c r="K92" s="178" t="str">
        <f>CONCATENATE("determinato secondo ",HLOOKUP(H3,Y68:AB91,O75,FALSE))</f>
        <v>determinato secondo par (6.1.5)</v>
      </c>
      <c r="L92" s="35"/>
      <c r="M92" s="149"/>
      <c r="N92" s="75"/>
      <c r="O92" s="1"/>
      <c r="P92" s="326" t="s">
        <v>303</v>
      </c>
      <c r="Q92" s="326"/>
      <c r="R92" s="326"/>
      <c r="S92" s="326"/>
      <c r="T92" s="372"/>
      <c r="U92" s="372" t="s">
        <v>304</v>
      </c>
      <c r="V92" s="372"/>
      <c r="W92" s="372"/>
      <c r="X92" s="326"/>
      <c r="Y92" s="326"/>
      <c r="Z92" s="372" t="s">
        <v>305</v>
      </c>
      <c r="AA92" s="326"/>
      <c r="AB92" s="326"/>
      <c r="AC92" s="326"/>
      <c r="AD92" s="326"/>
      <c r="AE92" s="326"/>
      <c r="AF92" s="326"/>
      <c r="AG92" s="326"/>
      <c r="AH92" s="326"/>
      <c r="AI92" s="326"/>
      <c r="AJ92" s="326"/>
      <c r="AK92" s="326"/>
      <c r="AL92" s="326"/>
      <c r="AM92" s="326"/>
      <c r="AN92" s="326"/>
      <c r="AO92" s="326"/>
      <c r="AP92" s="326"/>
      <c r="AQ92" s="326"/>
      <c r="AR92" s="326"/>
      <c r="AS92" s="326"/>
      <c r="AT92" s="326"/>
      <c r="AU92" s="326"/>
      <c r="AV92" s="326"/>
      <c r="AW92" s="326"/>
      <c r="BF92" s="15"/>
      <c r="BG92" s="15"/>
      <c r="BH92" s="15"/>
      <c r="BI92" s="16"/>
      <c r="BJ92" s="16"/>
      <c r="BK92" s="16"/>
      <c r="BL92" s="16"/>
    </row>
    <row r="93" spans="1:64" ht="15" customHeight="1" x14ac:dyDescent="0.35">
      <c r="A93" s="1"/>
      <c r="B93" s="1"/>
      <c r="C93" s="1"/>
      <c r="E93" s="373">
        <f>IF(LEFT($H$5)="G",2,1)</f>
        <v>2</v>
      </c>
      <c r="F93" s="374" t="s">
        <v>306</v>
      </c>
      <c r="G93" s="35"/>
      <c r="H93" s="35"/>
      <c r="I93" s="331">
        <f>HLOOKUP(H3,$U$68:$X$85,O74,FALSE)</f>
        <v>1.75</v>
      </c>
      <c r="J93" s="35"/>
      <c r="K93" s="178" t="str">
        <f>CONCATENATE("parametro ",HLOOKUP(H3,Y68:AB91,O74,FALSE))</f>
        <v>parametro par (6.1.5)</v>
      </c>
      <c r="L93" s="375"/>
      <c r="M93" s="35"/>
      <c r="N93" s="35"/>
      <c r="O93" s="1"/>
      <c r="P93" s="326" t="s">
        <v>307</v>
      </c>
      <c r="Q93" s="376">
        <v>5</v>
      </c>
      <c r="R93" s="326" t="s">
        <v>308</v>
      </c>
      <c r="S93" s="326"/>
      <c r="T93" s="326" t="s">
        <v>309</v>
      </c>
      <c r="U93" s="376">
        <v>0</v>
      </c>
      <c r="V93" s="326" t="s">
        <v>310</v>
      </c>
      <c r="W93" s="326"/>
      <c r="X93" s="326"/>
      <c r="Y93" s="326" t="s">
        <v>311</v>
      </c>
      <c r="Z93" s="376">
        <v>100</v>
      </c>
      <c r="AA93" s="326" t="s">
        <v>312</v>
      </c>
      <c r="AB93" s="326"/>
      <c r="AC93" s="326"/>
      <c r="AD93" s="326"/>
      <c r="AE93" s="326"/>
      <c r="AF93" s="326"/>
      <c r="AG93" s="326"/>
      <c r="AH93" s="326"/>
      <c r="AI93" s="326"/>
      <c r="AJ93" s="326"/>
      <c r="AK93" s="326"/>
      <c r="AL93" s="326"/>
      <c r="AM93" s="326"/>
      <c r="AN93" s="326"/>
      <c r="AO93" s="326"/>
      <c r="AP93" s="326"/>
      <c r="AQ93" s="326"/>
      <c r="AR93" s="326"/>
      <c r="AS93" s="326"/>
      <c r="AT93" s="326"/>
      <c r="AU93" s="326"/>
      <c r="AV93" s="326"/>
      <c r="AW93" s="326"/>
      <c r="BF93" s="15"/>
      <c r="BG93" s="15"/>
      <c r="BH93" s="15"/>
      <c r="BI93" s="16"/>
      <c r="BJ93" s="16"/>
      <c r="BK93" s="16"/>
      <c r="BL93" s="16"/>
    </row>
    <row r="94" spans="1:64" ht="15" customHeight="1" x14ac:dyDescent="0.35">
      <c r="A94" s="1"/>
      <c r="B94" s="377"/>
      <c r="C94" s="1"/>
      <c r="D94" s="1"/>
      <c r="E94" s="1"/>
      <c r="F94" s="35"/>
      <c r="G94" s="35"/>
      <c r="H94" s="35"/>
      <c r="I94" s="35"/>
      <c r="J94" s="35"/>
      <c r="K94" s="35"/>
      <c r="L94" s="35"/>
      <c r="M94" s="35"/>
      <c r="N94" s="35"/>
      <c r="O94" s="1"/>
      <c r="P94" s="326" t="s">
        <v>313</v>
      </c>
      <c r="Q94" s="376">
        <v>11600000</v>
      </c>
      <c r="R94" s="326" t="s">
        <v>310</v>
      </c>
      <c r="S94" s="326"/>
      <c r="T94" s="326" t="s">
        <v>314</v>
      </c>
      <c r="U94" s="376">
        <v>0</v>
      </c>
      <c r="V94" s="326" t="s">
        <v>310</v>
      </c>
      <c r="W94" s="326"/>
      <c r="X94" s="326"/>
      <c r="Y94" s="326" t="s">
        <v>315</v>
      </c>
      <c r="Z94" s="376">
        <v>45</v>
      </c>
      <c r="AA94" s="326" t="s">
        <v>312</v>
      </c>
      <c r="AB94" s="326"/>
      <c r="AC94" s="326"/>
      <c r="AD94" s="326"/>
      <c r="AE94" s="326"/>
      <c r="AF94" s="326"/>
      <c r="AG94" s="326"/>
      <c r="AH94" s="326"/>
      <c r="AI94" s="326"/>
      <c r="AJ94" s="326"/>
      <c r="AK94" s="326"/>
      <c r="AL94" s="326"/>
      <c r="AM94" s="326"/>
      <c r="AN94" s="326"/>
      <c r="AO94" s="326"/>
      <c r="AP94" s="326"/>
      <c r="AQ94" s="326"/>
      <c r="AR94" s="326"/>
      <c r="AS94" s="326"/>
      <c r="AT94" s="326"/>
      <c r="AU94" s="326"/>
      <c r="AV94" s="326"/>
      <c r="AW94" s="326"/>
      <c r="BF94" s="15"/>
      <c r="BG94" s="15"/>
      <c r="BH94" s="15"/>
      <c r="BI94" s="16"/>
      <c r="BJ94" s="16"/>
      <c r="BK94" s="16"/>
      <c r="BL94" s="16"/>
    </row>
    <row r="95" spans="1:64" ht="13.5" x14ac:dyDescent="0.35">
      <c r="A95" s="1"/>
      <c r="B95" s="1"/>
      <c r="C95" s="1"/>
      <c r="D95" s="1"/>
      <c r="E95" s="1"/>
      <c r="F95" s="378" t="s">
        <v>316</v>
      </c>
      <c r="G95" s="379"/>
      <c r="H95" s="379"/>
      <c r="I95" s="379"/>
      <c r="J95" s="379"/>
      <c r="K95" s="35"/>
      <c r="L95" s="35"/>
      <c r="M95" s="35"/>
      <c r="N95" s="35"/>
      <c r="O95" s="1"/>
      <c r="P95" s="326" t="s">
        <v>317</v>
      </c>
      <c r="Q95" s="376">
        <f>0.18*0.4^3/12</f>
        <v>9.6000000000000024E-4</v>
      </c>
      <c r="R95" s="326" t="s">
        <v>318</v>
      </c>
      <c r="S95" s="326"/>
      <c r="T95" s="380" t="s">
        <v>319</v>
      </c>
      <c r="U95" s="381">
        <f>1/($Q$94*$Q$95)*($U$93*R108^3/6-$U$93*$Q$93*R108^2/4+$U$99*$U$93)</f>
        <v>0</v>
      </c>
      <c r="V95" s="326" t="s">
        <v>320</v>
      </c>
      <c r="W95" s="326"/>
      <c r="X95" s="326"/>
      <c r="Y95" s="326" t="s">
        <v>321</v>
      </c>
      <c r="Z95" s="376">
        <v>0.5</v>
      </c>
      <c r="AA95" s="326" t="s">
        <v>308</v>
      </c>
      <c r="AB95" s="326"/>
      <c r="AC95" s="326"/>
      <c r="AD95" s="326"/>
      <c r="AE95" s="326"/>
      <c r="AF95" s="326"/>
      <c r="AG95" s="326"/>
      <c r="AH95" s="326"/>
      <c r="AI95" s="326"/>
      <c r="AJ95" s="326"/>
      <c r="AK95" s="326"/>
      <c r="AL95" s="326"/>
      <c r="AM95" s="326"/>
      <c r="AN95" s="326"/>
      <c r="AO95" s="326"/>
      <c r="AP95" s="326"/>
      <c r="AQ95" s="326"/>
      <c r="AR95" s="326"/>
      <c r="AS95" s="326"/>
      <c r="AT95" s="326"/>
      <c r="AU95" s="326"/>
      <c r="AV95" s="326"/>
      <c r="AW95" s="326"/>
      <c r="BF95" s="15"/>
      <c r="BG95" s="15"/>
      <c r="BH95" s="15"/>
      <c r="BI95" s="16"/>
      <c r="BJ95" s="16"/>
      <c r="BK95" s="16"/>
      <c r="BL95" s="16"/>
    </row>
    <row r="96" spans="1:64" ht="13.5" x14ac:dyDescent="0.35">
      <c r="A96" s="1"/>
      <c r="B96" s="1"/>
      <c r="C96" s="1"/>
      <c r="D96" s="1"/>
      <c r="E96" s="1"/>
      <c r="F96" s="364" t="s">
        <v>322</v>
      </c>
      <c r="G96" s="35"/>
      <c r="H96" s="35"/>
      <c r="I96" s="35"/>
      <c r="J96" s="35"/>
      <c r="K96" s="35"/>
      <c r="L96" s="35"/>
      <c r="M96" s="382">
        <f>H67/H77</f>
        <v>7.5306285511363633E-2</v>
      </c>
      <c r="N96" s="383" t="str">
        <f>IF(M96&lt;=1,"≤1","NO!")</f>
        <v>≤1</v>
      </c>
      <c r="O96" s="1"/>
      <c r="P96" s="326" t="s">
        <v>323</v>
      </c>
      <c r="Q96" s="384">
        <f>0.18^3*0.4/12</f>
        <v>1.9439999999999998E-4</v>
      </c>
      <c r="R96" s="326" t="s">
        <v>318</v>
      </c>
      <c r="S96" s="326"/>
      <c r="T96" s="380" t="s">
        <v>324</v>
      </c>
      <c r="U96" s="381">
        <f>1/($Q$94*$Q$95)*($U$93*R158^3/6-$U$93*$Q$93*R158^2/4+$U$99*$U$93)</f>
        <v>0</v>
      </c>
      <c r="V96" s="326" t="s">
        <v>320</v>
      </c>
      <c r="W96" s="326"/>
      <c r="X96" s="326"/>
      <c r="Y96" s="380" t="s">
        <v>319</v>
      </c>
      <c r="Z96" s="381">
        <f>1/(Q94*Q95)*(-(Q93-Z95)/Q93*R108^2/2*Z93+Z100*Z93)</f>
        <v>8.6431393678160894E-3</v>
      </c>
      <c r="AA96" s="326" t="s">
        <v>320</v>
      </c>
      <c r="AB96" s="326"/>
      <c r="AC96" s="326"/>
      <c r="AD96" s="326"/>
      <c r="AE96" s="326"/>
      <c r="AF96" s="326"/>
      <c r="AG96" s="326"/>
      <c r="AH96" s="326"/>
      <c r="AI96" s="326"/>
      <c r="AJ96" s="326"/>
      <c r="AK96" s="326"/>
      <c r="AL96" s="326"/>
      <c r="AM96" s="326"/>
      <c r="AN96" s="326"/>
      <c r="AO96" s="326"/>
      <c r="AP96" s="326"/>
      <c r="AQ96" s="326"/>
      <c r="AR96" s="326"/>
      <c r="AS96" s="326"/>
      <c r="AT96" s="326"/>
      <c r="AU96" s="326"/>
      <c r="AV96" s="326"/>
      <c r="AW96" s="326"/>
      <c r="BF96" s="15"/>
      <c r="BG96" s="15"/>
      <c r="BH96" s="15"/>
      <c r="BI96" s="16"/>
      <c r="BJ96" s="16"/>
      <c r="BK96" s="16"/>
      <c r="BL96" s="16"/>
    </row>
    <row r="97" spans="1:64" ht="15" customHeight="1" x14ac:dyDescent="0.35">
      <c r="A97" s="1"/>
      <c r="B97" s="1"/>
      <c r="C97" s="1"/>
      <c r="D97" s="1"/>
      <c r="E97" s="1"/>
      <c r="F97" s="35"/>
      <c r="G97" s="35"/>
      <c r="H97" s="35"/>
      <c r="I97" s="35"/>
      <c r="J97" s="35"/>
      <c r="K97" s="35"/>
      <c r="L97" s="35"/>
      <c r="M97" s="285"/>
      <c r="N97" s="76"/>
      <c r="O97" s="207"/>
      <c r="P97" s="326" t="s">
        <v>325</v>
      </c>
      <c r="Q97" s="376">
        <v>720000</v>
      </c>
      <c r="R97" s="326" t="s">
        <v>310</v>
      </c>
      <c r="S97" s="326"/>
      <c r="T97" s="380" t="s">
        <v>326</v>
      </c>
      <c r="U97" s="381">
        <f>1/($Q$94*$Q$96)*($U$93*R108^3/6-$U$93*$Q$93*R108^2/4+$U$99*$U$93)</f>
        <v>0</v>
      </c>
      <c r="V97" s="326" t="s">
        <v>320</v>
      </c>
      <c r="W97" s="326"/>
      <c r="X97" s="326"/>
      <c r="Y97" s="380" t="s">
        <v>324</v>
      </c>
      <c r="Z97" s="381">
        <f>1/(Q94*Q95)*(Z95/Q93*R158^2/2*Z93-Z95*R158*Z93+Z102*Z93)</f>
        <v>-3.7042025862068953E-3</v>
      </c>
      <c r="AA97" s="326" t="s">
        <v>320</v>
      </c>
      <c r="AB97" s="326"/>
      <c r="AC97" s="326"/>
      <c r="AD97" s="326"/>
      <c r="AE97" s="326"/>
      <c r="AF97" s="326"/>
      <c r="AG97" s="326"/>
      <c r="AH97" s="326"/>
      <c r="AI97" s="326"/>
      <c r="AJ97" s="326"/>
      <c r="AK97" s="326"/>
      <c r="AL97" s="326"/>
      <c r="AM97" s="326"/>
      <c r="AN97" s="326"/>
      <c r="AO97" s="326"/>
      <c r="AP97" s="326"/>
      <c r="AQ97" s="326"/>
      <c r="AR97" s="326"/>
      <c r="AS97" s="326"/>
      <c r="AT97" s="326"/>
      <c r="AU97" s="326"/>
      <c r="AV97" s="326"/>
      <c r="AW97" s="326"/>
      <c r="BF97" s="15"/>
      <c r="BG97" s="15"/>
      <c r="BH97" s="15"/>
      <c r="BI97" s="16"/>
      <c r="BJ97" s="16"/>
      <c r="BK97" s="16"/>
      <c r="BL97" s="16"/>
    </row>
    <row r="98" spans="1:64" ht="13.5" x14ac:dyDescent="0.35">
      <c r="A98" s="1"/>
      <c r="B98" s="1"/>
      <c r="C98" s="1"/>
      <c r="D98" s="1"/>
      <c r="E98" s="1"/>
      <c r="F98" s="378" t="s">
        <v>327</v>
      </c>
      <c r="G98" s="379"/>
      <c r="H98" s="379"/>
      <c r="I98" s="379"/>
      <c r="J98" s="379"/>
      <c r="K98" s="35"/>
      <c r="L98" s="35"/>
      <c r="M98" s="285"/>
      <c r="N98" s="76"/>
      <c r="O98" s="62"/>
      <c r="P98" s="326" t="s">
        <v>328</v>
      </c>
      <c r="Q98" s="376">
        <f>0.18*0.4</f>
        <v>7.1999999999999995E-2</v>
      </c>
      <c r="R98" s="326" t="s">
        <v>329</v>
      </c>
      <c r="S98" s="326"/>
      <c r="T98" s="380" t="s">
        <v>330</v>
      </c>
      <c r="U98" s="381">
        <f>1/($Q$94*$Q$96)*($U$93*R158^3/6-$U$93*$Q$93*R158^2/4+$U$99*$U$93)</f>
        <v>0</v>
      </c>
      <c r="V98" s="326" t="s">
        <v>320</v>
      </c>
      <c r="W98" s="326"/>
      <c r="X98" s="326"/>
      <c r="Y98" s="380" t="s">
        <v>326</v>
      </c>
      <c r="Z98" s="381">
        <f>1/(Q94*Q96)*(-(Q93-Z95)/Q93*R108^2/2*Z93+Z100*Z93)</f>
        <v>4.2682169717610331E-2</v>
      </c>
      <c r="AA98" s="326" t="s">
        <v>320</v>
      </c>
      <c r="AB98" s="326"/>
      <c r="AC98" s="326"/>
      <c r="AD98" s="326"/>
      <c r="AE98" s="326"/>
      <c r="AF98" s="326"/>
      <c r="AG98" s="326"/>
      <c r="AH98" s="326"/>
      <c r="AI98" s="326"/>
      <c r="AJ98" s="326"/>
      <c r="AK98" s="326"/>
      <c r="AL98" s="326"/>
      <c r="AM98" s="326"/>
      <c r="AN98" s="326"/>
      <c r="AO98" s="326"/>
      <c r="AP98" s="326"/>
      <c r="AQ98" s="326"/>
      <c r="AR98" s="326"/>
      <c r="AS98" s="326"/>
      <c r="AT98" s="326"/>
      <c r="AU98" s="326"/>
      <c r="AV98" s="326"/>
      <c r="AW98" s="326"/>
      <c r="BF98" s="15"/>
      <c r="BG98" s="15"/>
      <c r="BH98" s="15"/>
      <c r="BI98" s="16"/>
      <c r="BJ98" s="16"/>
      <c r="BK98" s="16"/>
      <c r="BL98" s="16"/>
    </row>
    <row r="99" spans="1:64" ht="13.5" x14ac:dyDescent="0.35">
      <c r="A99" s="1"/>
      <c r="B99" s="1"/>
      <c r="C99" s="1"/>
      <c r="D99" s="1"/>
      <c r="E99" s="1"/>
      <c r="F99" s="364" t="s">
        <v>331</v>
      </c>
      <c r="G99" s="35"/>
      <c r="H99" s="35"/>
      <c r="I99" s="35"/>
      <c r="J99" s="35"/>
      <c r="K99" s="35"/>
      <c r="L99" s="35"/>
      <c r="M99" s="382">
        <f>H67/(I82*H77)</f>
        <v>7.5306285511363633E-2</v>
      </c>
      <c r="N99" s="383" t="str">
        <f>IF(M99&lt;=1,"≤1","NO!")</f>
        <v>≤1</v>
      </c>
      <c r="O99" s="62"/>
      <c r="P99" s="380" t="s">
        <v>332</v>
      </c>
      <c r="Q99" s="376">
        <v>1.2</v>
      </c>
      <c r="R99" s="326" t="s">
        <v>329</v>
      </c>
      <c r="S99" s="326"/>
      <c r="T99" s="326" t="s">
        <v>328</v>
      </c>
      <c r="U99" s="385">
        <f>Q93^3/24</f>
        <v>5.208333333333333</v>
      </c>
      <c r="V99" s="326"/>
      <c r="W99" s="326"/>
      <c r="X99" s="326"/>
      <c r="Y99" s="380" t="s">
        <v>330</v>
      </c>
      <c r="Z99" s="381">
        <f>1/(Q94*Q96)*(Z95/Q93*R158^2/2*Z93-Z95*R158*Z93+Z102*Z93)</f>
        <v>-1.8292358450404427E-2</v>
      </c>
      <c r="AA99" s="326" t="s">
        <v>320</v>
      </c>
      <c r="AB99" s="326"/>
      <c r="AC99" s="326"/>
      <c r="AD99" s="326"/>
      <c r="AE99" s="326"/>
      <c r="AF99" s="326"/>
      <c r="AG99" s="326"/>
      <c r="AH99" s="326"/>
      <c r="AI99" s="326"/>
      <c r="AJ99" s="326"/>
      <c r="AK99" s="326"/>
      <c r="AL99" s="326"/>
      <c r="AM99" s="326"/>
      <c r="AN99" s="326"/>
      <c r="AO99" s="326"/>
      <c r="AP99" s="326"/>
      <c r="AQ99" s="326"/>
      <c r="AR99" s="326"/>
      <c r="AS99" s="326"/>
      <c r="AT99" s="326"/>
      <c r="AU99" s="326"/>
      <c r="AV99" s="326"/>
      <c r="AW99" s="326"/>
      <c r="BF99" s="15"/>
      <c r="BG99" s="15"/>
      <c r="BH99" s="15"/>
      <c r="BI99" s="16"/>
      <c r="BJ99" s="16"/>
      <c r="BK99" s="16"/>
      <c r="BL99" s="16"/>
    </row>
    <row r="100" spans="1:64" ht="13.5" x14ac:dyDescent="0.35">
      <c r="A100" s="1"/>
      <c r="B100" s="1"/>
      <c r="C100" s="1"/>
      <c r="D100" s="1"/>
      <c r="E100" s="1"/>
      <c r="F100" s="35"/>
      <c r="G100" s="35"/>
      <c r="H100" s="35"/>
      <c r="I100" s="35"/>
      <c r="J100" s="35"/>
      <c r="K100" s="35"/>
      <c r="L100" s="35"/>
      <c r="M100" s="281"/>
      <c r="N100" s="35"/>
      <c r="O100" s="1"/>
      <c r="P100" s="380" t="s">
        <v>333</v>
      </c>
      <c r="Q100" s="376">
        <v>10</v>
      </c>
      <c r="R100" s="326" t="s">
        <v>334</v>
      </c>
      <c r="S100" s="326"/>
      <c r="T100" s="326" t="s">
        <v>335</v>
      </c>
      <c r="U100" s="372">
        <v>0</v>
      </c>
      <c r="V100" s="326"/>
      <c r="W100" s="326"/>
      <c r="X100" s="326"/>
      <c r="Y100" s="326" t="s">
        <v>336</v>
      </c>
      <c r="Z100" s="385">
        <f>-Z95^2/2+Z95*Q93/3+Z95^3/(6*Q93)</f>
        <v>0.96250000000000002</v>
      </c>
      <c r="AA100" s="326"/>
      <c r="AB100" s="326"/>
      <c r="AC100" s="326"/>
      <c r="AD100" s="326"/>
      <c r="AE100" s="326"/>
      <c r="AF100" s="326"/>
      <c r="AG100" s="326"/>
      <c r="AH100" s="326"/>
      <c r="AI100" s="326"/>
      <c r="AJ100" s="326"/>
      <c r="AK100" s="326"/>
      <c r="AL100" s="326"/>
      <c r="AM100" s="326"/>
      <c r="AN100" s="326"/>
      <c r="AO100" s="326"/>
      <c r="AP100" s="326"/>
      <c r="AQ100" s="326"/>
      <c r="AR100" s="326"/>
      <c r="AS100" s="326"/>
      <c r="AT100" s="326"/>
      <c r="AU100" s="326"/>
      <c r="AV100" s="326"/>
      <c r="AW100" s="326"/>
      <c r="BF100" s="15"/>
      <c r="BG100" s="15"/>
      <c r="BH100" s="15"/>
      <c r="BI100" s="16"/>
      <c r="BJ100" s="16"/>
      <c r="BK100" s="16"/>
      <c r="BL100" s="16"/>
    </row>
    <row r="101" spans="1:64" ht="13.5" x14ac:dyDescent="0.35">
      <c r="A101" s="1"/>
      <c r="B101" s="1"/>
      <c r="C101" s="1"/>
      <c r="D101" s="1"/>
      <c r="E101" s="1"/>
      <c r="F101" s="378" t="s">
        <v>337</v>
      </c>
      <c r="G101" s="379"/>
      <c r="H101" s="379"/>
      <c r="I101" s="379"/>
      <c r="J101" s="379"/>
      <c r="K101" s="35"/>
      <c r="L101" s="35"/>
      <c r="M101" s="281"/>
      <c r="N101" s="35"/>
      <c r="O101" s="1"/>
      <c r="P101" s="326"/>
      <c r="Q101" s="326"/>
      <c r="R101" s="326"/>
      <c r="S101" s="326"/>
      <c r="T101" s="326"/>
      <c r="U101" s="326"/>
      <c r="V101" s="326"/>
      <c r="W101" s="326"/>
      <c r="X101" s="326"/>
      <c r="Y101" s="326" t="s">
        <v>338</v>
      </c>
      <c r="Z101" s="372">
        <v>0</v>
      </c>
      <c r="AA101" s="326"/>
      <c r="AB101" s="326"/>
      <c r="AC101" s="326"/>
      <c r="AD101" s="326"/>
      <c r="AE101" s="326"/>
      <c r="AF101" s="326"/>
      <c r="AG101" s="326"/>
      <c r="AH101" s="326"/>
      <c r="AI101" s="326"/>
      <c r="AJ101" s="326"/>
      <c r="AK101" s="326"/>
      <c r="AL101" s="326"/>
      <c r="AM101" s="326"/>
      <c r="AN101" s="326"/>
      <c r="AO101" s="326"/>
      <c r="AP101" s="326"/>
      <c r="AQ101" s="326"/>
      <c r="AR101" s="326"/>
      <c r="AS101" s="326"/>
      <c r="AT101" s="326"/>
      <c r="AU101" s="326"/>
      <c r="AV101" s="326"/>
      <c r="AW101" s="326"/>
      <c r="BF101" s="15"/>
      <c r="BG101" s="15"/>
      <c r="BH101" s="15"/>
      <c r="BI101" s="16"/>
      <c r="BJ101" s="16"/>
      <c r="BK101" s="16"/>
      <c r="BL101" s="16"/>
    </row>
    <row r="102" spans="1:64" ht="13.5" x14ac:dyDescent="0.35">
      <c r="A102" s="1"/>
      <c r="B102" s="1"/>
      <c r="C102" s="1"/>
      <c r="D102" s="1"/>
      <c r="E102" s="1"/>
      <c r="F102" s="321" t="s">
        <v>339</v>
      </c>
      <c r="G102" s="35"/>
      <c r="H102" s="35"/>
      <c r="I102" s="35"/>
      <c r="J102" s="35"/>
      <c r="K102" s="35"/>
      <c r="L102" s="35"/>
      <c r="M102" s="382">
        <f>H66/H78</f>
        <v>2.1206250000000003E-2</v>
      </c>
      <c r="N102" s="383" t="str">
        <f>IF(M102&lt;=1,"≤1","NO!")</f>
        <v>≤1</v>
      </c>
      <c r="O102" s="62"/>
      <c r="P102" s="326"/>
      <c r="Q102" s="326"/>
      <c r="R102" s="326"/>
      <c r="S102" s="326"/>
      <c r="T102" s="326"/>
      <c r="U102" s="326"/>
      <c r="V102" s="326"/>
      <c r="W102" s="326"/>
      <c r="X102" s="326"/>
      <c r="Y102" s="326" t="s">
        <v>340</v>
      </c>
      <c r="Z102" s="385">
        <f>Z95*Q93/3+Z95^3/(6*Q93)</f>
        <v>0.83750000000000002</v>
      </c>
      <c r="AA102" s="326"/>
      <c r="AB102" s="326"/>
      <c r="AC102" s="326"/>
      <c r="AD102" s="326"/>
      <c r="AE102" s="326"/>
      <c r="AF102" s="326"/>
      <c r="AG102" s="326"/>
      <c r="AH102" s="326"/>
      <c r="AI102" s="326"/>
      <c r="AJ102" s="326"/>
      <c r="AK102" s="326"/>
      <c r="AL102" s="326"/>
      <c r="AM102" s="326"/>
      <c r="AN102" s="326"/>
      <c r="AO102" s="326"/>
      <c r="AP102" s="326"/>
      <c r="AQ102" s="326"/>
      <c r="AR102" s="326"/>
      <c r="AS102" s="326"/>
      <c r="AT102" s="326"/>
      <c r="AU102" s="326"/>
      <c r="AV102" s="326"/>
      <c r="AW102" s="326"/>
      <c r="BF102" s="15"/>
      <c r="BG102" s="15"/>
      <c r="BH102" s="15"/>
      <c r="BI102" s="16"/>
      <c r="BJ102" s="16"/>
      <c r="BK102" s="16"/>
      <c r="BL102" s="16"/>
    </row>
    <row r="103" spans="1:64" ht="13.5" x14ac:dyDescent="0.35">
      <c r="A103" s="1"/>
      <c r="B103" s="1"/>
      <c r="C103" s="1"/>
      <c r="D103" s="1"/>
      <c r="E103" s="1"/>
      <c r="F103" s="35"/>
      <c r="G103" s="35"/>
      <c r="H103" s="35"/>
      <c r="I103" s="35"/>
      <c r="J103" s="35"/>
      <c r="K103" s="35"/>
      <c r="L103" s="35"/>
      <c r="M103" s="35"/>
      <c r="N103" s="35"/>
      <c r="O103" s="62"/>
      <c r="P103" s="326"/>
      <c r="Q103" s="326"/>
      <c r="R103" s="326"/>
      <c r="S103" s="326"/>
      <c r="T103" s="326"/>
      <c r="U103" s="326"/>
      <c r="V103" s="326"/>
      <c r="W103" s="326"/>
      <c r="X103" s="326"/>
      <c r="Y103" s="326" t="s">
        <v>341</v>
      </c>
      <c r="Z103" s="386">
        <f>-Z95^3/(6*Q94*Q95)+Q99/(Q97*Q98)*Z95</f>
        <v>9.7032646871008963E-6</v>
      </c>
      <c r="AA103" s="326"/>
      <c r="AB103" s="326"/>
      <c r="AC103" s="326"/>
      <c r="AD103" s="326"/>
      <c r="AE103" s="326"/>
      <c r="AF103" s="326"/>
      <c r="AG103" s="326"/>
      <c r="AH103" s="326"/>
      <c r="AI103" s="326"/>
      <c r="AJ103" s="326"/>
      <c r="AK103" s="326"/>
      <c r="AL103" s="326"/>
      <c r="AM103" s="326"/>
      <c r="AN103" s="326"/>
      <c r="AO103" s="326"/>
      <c r="AP103" s="326"/>
      <c r="AQ103" s="326"/>
      <c r="AR103" s="326"/>
      <c r="AS103" s="326"/>
      <c r="AT103" s="326"/>
      <c r="AU103" s="326"/>
      <c r="AV103" s="326"/>
      <c r="AW103" s="326"/>
      <c r="BF103" s="15"/>
      <c r="BG103" s="15"/>
      <c r="BH103" s="15"/>
      <c r="BI103" s="16"/>
      <c r="BJ103" s="16"/>
      <c r="BK103" s="16"/>
      <c r="BL103" s="16"/>
    </row>
    <row r="104" spans="1:64" ht="13.5" x14ac:dyDescent="0.35">
      <c r="A104" s="1"/>
      <c r="B104" s="1"/>
      <c r="C104" s="1"/>
      <c r="D104" s="1"/>
      <c r="E104" s="1"/>
      <c r="F104" s="378" t="s">
        <v>342</v>
      </c>
      <c r="G104" s="379"/>
      <c r="H104" s="379"/>
      <c r="I104" s="379"/>
      <c r="J104" s="379"/>
      <c r="K104" s="35"/>
      <c r="L104" s="35"/>
      <c r="M104" s="35"/>
      <c r="N104" s="35"/>
      <c r="O104" s="1"/>
      <c r="P104" s="326"/>
      <c r="Q104" s="326"/>
      <c r="R104" s="326"/>
      <c r="S104" s="326"/>
      <c r="T104" s="326"/>
      <c r="U104" s="326"/>
      <c r="V104" s="326"/>
      <c r="W104" s="326"/>
      <c r="X104" s="326"/>
      <c r="Y104" s="326" t="s">
        <v>343</v>
      </c>
      <c r="Z104" s="386">
        <f>-Z95^3/(6*Q94*Q96)+Q99/(Q97*Q98)*Z95</f>
        <v>2.3355092001324432E-6</v>
      </c>
      <c r="AA104" s="387"/>
      <c r="AB104" s="387"/>
      <c r="AC104" s="326"/>
      <c r="AD104" s="326"/>
      <c r="AE104" s="326"/>
      <c r="AF104" s="326"/>
      <c r="AG104" s="326"/>
      <c r="AH104" s="326"/>
      <c r="AI104" s="326"/>
      <c r="AJ104" s="326"/>
      <c r="AK104" s="326"/>
      <c r="AL104" s="326"/>
      <c r="AM104" s="326"/>
      <c r="AN104" s="388"/>
      <c r="AO104" s="388"/>
      <c r="AP104" s="388"/>
      <c r="AQ104" s="388"/>
      <c r="AR104" s="388"/>
      <c r="AS104" s="388"/>
      <c r="AT104" s="388"/>
      <c r="AU104" s="388"/>
      <c r="AV104" s="388"/>
      <c r="AW104" s="388"/>
      <c r="AX104" s="389"/>
      <c r="AY104" s="389"/>
      <c r="BF104" s="15"/>
      <c r="BG104" s="15"/>
      <c r="BH104" s="15"/>
      <c r="BI104" s="16"/>
      <c r="BJ104" s="16"/>
      <c r="BK104" s="16"/>
      <c r="BL104" s="16"/>
    </row>
    <row r="105" spans="1:64" ht="13.5" x14ac:dyDescent="0.25">
      <c r="A105" s="1"/>
      <c r="B105" s="1"/>
      <c r="C105" s="1"/>
      <c r="D105" s="1"/>
      <c r="E105" s="1"/>
      <c r="F105" s="364" t="s">
        <v>344</v>
      </c>
      <c r="G105" s="146"/>
      <c r="H105" s="33"/>
      <c r="I105" s="374"/>
      <c r="J105" s="35"/>
      <c r="K105" s="35"/>
      <c r="L105" s="33"/>
      <c r="M105" s="382">
        <f>IF(OR(I24=0,I25=0),"/",H68/(I93*H79))</f>
        <v>4.2149068322981367E-3</v>
      </c>
      <c r="N105" s="383" t="str">
        <f>IF(OR(I24=0,I25=0,M105="/"),"/",IF(M105&lt;=1,"≤1","NO!"))</f>
        <v>≤1</v>
      </c>
      <c r="O105" s="1"/>
      <c r="P105" s="326"/>
      <c r="Q105" s="326"/>
      <c r="R105" s="326"/>
      <c r="S105" s="326"/>
      <c r="T105" s="326"/>
      <c r="U105" s="326"/>
      <c r="V105" s="326"/>
      <c r="W105" s="326"/>
      <c r="X105" s="326"/>
      <c r="Y105" s="326"/>
      <c r="Z105" s="386"/>
      <c r="AA105" s="387"/>
      <c r="AB105" s="387"/>
      <c r="AC105" s="326"/>
      <c r="AD105" s="326"/>
      <c r="AE105" s="326"/>
      <c r="AF105" s="326"/>
      <c r="AG105" s="326"/>
      <c r="AH105" s="326"/>
      <c r="AI105" s="326"/>
      <c r="AJ105" s="326"/>
      <c r="AK105" s="326"/>
      <c r="AL105" s="326"/>
      <c r="AM105" s="326"/>
      <c r="AN105" s="388"/>
      <c r="AO105" s="388"/>
      <c r="AP105" s="388"/>
      <c r="AQ105" s="388"/>
      <c r="AR105" s="388"/>
      <c r="AS105" s="388"/>
      <c r="AT105" s="388"/>
      <c r="AU105" s="388"/>
      <c r="AV105" s="388"/>
      <c r="AW105" s="388"/>
      <c r="AX105" s="389"/>
      <c r="AY105" s="389"/>
      <c r="BF105" s="15"/>
      <c r="BG105" s="15"/>
      <c r="BH105" s="15"/>
      <c r="BI105" s="16"/>
      <c r="BJ105" s="16"/>
      <c r="BK105" s="16"/>
      <c r="BL105" s="16"/>
    </row>
    <row r="106" spans="1:64" ht="12.5" x14ac:dyDescent="0.25">
      <c r="A106" s="1"/>
      <c r="B106" s="1"/>
      <c r="C106" s="1"/>
      <c r="D106" s="1"/>
      <c r="E106" s="1"/>
      <c r="F106" s="35"/>
      <c r="G106" s="35"/>
      <c r="H106" s="35"/>
      <c r="I106" s="35"/>
      <c r="J106" s="35"/>
      <c r="K106" s="35"/>
      <c r="L106" s="35"/>
      <c r="M106" s="35"/>
      <c r="N106" s="35"/>
      <c r="O106" s="1"/>
      <c r="P106" s="380"/>
      <c r="Q106" s="380"/>
      <c r="R106" s="326"/>
      <c r="S106" s="326"/>
      <c r="T106" s="372" t="s">
        <v>345</v>
      </c>
      <c r="U106" s="372"/>
      <c r="V106" s="372"/>
      <c r="W106" s="372"/>
      <c r="X106" s="326"/>
      <c r="Y106" s="372" t="s">
        <v>345</v>
      </c>
      <c r="Z106" s="372"/>
      <c r="AA106" s="372"/>
      <c r="AB106" s="372"/>
      <c r="AC106" s="326"/>
      <c r="AD106" s="326"/>
      <c r="AE106" s="372" t="s">
        <v>346</v>
      </c>
      <c r="AF106" s="372"/>
      <c r="AG106" s="372"/>
      <c r="AH106" s="372"/>
      <c r="AI106" s="372"/>
      <c r="AJ106" s="372"/>
      <c r="AK106" s="372"/>
      <c r="AL106" s="372"/>
      <c r="AM106" s="372"/>
      <c r="AN106" s="390"/>
      <c r="AO106" s="390"/>
      <c r="AP106" s="390"/>
      <c r="AQ106" s="390"/>
      <c r="AR106" s="390"/>
      <c r="AS106" s="390"/>
      <c r="AT106" s="390"/>
      <c r="AU106" s="390"/>
      <c r="AV106" s="390"/>
      <c r="AW106" s="390"/>
      <c r="AX106" s="389"/>
      <c r="AY106" s="389"/>
      <c r="BF106" s="15"/>
      <c r="BG106" s="15"/>
      <c r="BH106" s="15"/>
      <c r="BI106" s="16"/>
      <c r="BJ106" s="16"/>
      <c r="BK106" s="16"/>
      <c r="BL106" s="16"/>
    </row>
    <row r="107" spans="1:64" ht="13.5" x14ac:dyDescent="0.35">
      <c r="A107" s="1"/>
      <c r="B107" s="1"/>
      <c r="C107" s="1"/>
      <c r="D107" s="1"/>
      <c r="E107" s="1"/>
      <c r="F107" s="35"/>
      <c r="G107" s="35"/>
      <c r="H107" s="35"/>
      <c r="I107" s="35"/>
      <c r="J107" s="35"/>
      <c r="K107" s="35"/>
      <c r="L107" s="35"/>
      <c r="M107" s="35"/>
      <c r="N107" s="35"/>
      <c r="O107" s="108"/>
      <c r="P107" s="326"/>
      <c r="Q107" s="326" t="s">
        <v>347</v>
      </c>
      <c r="R107" s="326" t="s">
        <v>348</v>
      </c>
      <c r="S107" s="326"/>
      <c r="T107" s="372" t="s">
        <v>349</v>
      </c>
      <c r="U107" s="372" t="s">
        <v>350</v>
      </c>
      <c r="V107" s="391" t="s">
        <v>351</v>
      </c>
      <c r="W107" s="391" t="s">
        <v>352</v>
      </c>
      <c r="X107" s="326"/>
      <c r="Y107" s="372" t="s">
        <v>349</v>
      </c>
      <c r="Z107" s="372" t="s">
        <v>350</v>
      </c>
      <c r="AA107" s="372" t="s">
        <v>351</v>
      </c>
      <c r="AB107" s="372" t="s">
        <v>352</v>
      </c>
      <c r="AC107" s="326"/>
      <c r="AD107" s="326"/>
      <c r="AE107" s="372" t="s">
        <v>349</v>
      </c>
      <c r="AF107" s="372" t="s">
        <v>350</v>
      </c>
      <c r="AG107" s="372" t="s">
        <v>351</v>
      </c>
      <c r="AH107" s="372" t="s">
        <v>352</v>
      </c>
      <c r="AI107" s="372"/>
      <c r="AJ107" s="372"/>
      <c r="AK107" s="372"/>
      <c r="AL107" s="372"/>
      <c r="AM107" s="372"/>
      <c r="AN107" s="392"/>
      <c r="AO107" s="392"/>
      <c r="AP107" s="392"/>
      <c r="AQ107" s="392"/>
      <c r="AR107" s="392"/>
      <c r="AS107" s="392"/>
      <c r="AT107" s="392"/>
      <c r="AU107" s="392"/>
      <c r="AV107" s="392"/>
      <c r="AW107" s="392"/>
      <c r="AX107" s="389"/>
      <c r="AY107" s="389"/>
      <c r="BF107" s="15"/>
      <c r="BG107" s="15"/>
      <c r="BH107" s="15"/>
      <c r="BI107" s="16"/>
      <c r="BJ107" s="16"/>
      <c r="BK107" s="16"/>
      <c r="BL107" s="16"/>
    </row>
    <row r="108" spans="1:64" ht="12.5" x14ac:dyDescent="0.25">
      <c r="A108" s="1"/>
      <c r="B108" s="1"/>
      <c r="C108" s="1"/>
      <c r="D108" s="1"/>
      <c r="E108" s="1"/>
      <c r="F108" s="35"/>
      <c r="G108" s="35"/>
      <c r="H108" s="35"/>
      <c r="I108" s="35"/>
      <c r="J108" s="35"/>
      <c r="K108" s="35"/>
      <c r="L108" s="35"/>
      <c r="M108" s="35"/>
      <c r="N108" s="35"/>
      <c r="O108" s="108"/>
      <c r="P108" s="326"/>
      <c r="Q108" s="372">
        <v>0</v>
      </c>
      <c r="R108" s="372">
        <f t="shared" ref="R108:R158" si="3">$Q$93/$Q$158*Q108</f>
        <v>0</v>
      </c>
      <c r="S108" s="326"/>
      <c r="T108" s="372">
        <f t="shared" ref="T108:T158" si="4">$Q$93/2*$R108-$R108^2/2</f>
        <v>0</v>
      </c>
      <c r="U108" s="372">
        <f t="shared" ref="U108:U158" si="5">$Q$93/2-$R108</f>
        <v>2.5</v>
      </c>
      <c r="V108" s="393">
        <f t="shared" ref="V108:V158" si="6">(1/($Q$94*$Q$95)*(R108^4/24-$Q$93*R108^3/12+$U$99*R108)+$Q$99/($Q$97*$Q$98)*($Q$93/2*R108-R108^2/2)+$U$100)*1000</f>
        <v>0</v>
      </c>
      <c r="W108" s="393">
        <f t="shared" ref="W108:W158" si="7">(1/($Q$94*$Q$96)*(R108^4/24-$Q$93*R108^3/12+$U$99*R108)+$Q$99/($Q$97*$Q$98)*($Q$93/2*R108-R108^2/2)+$U$100)*1000</f>
        <v>0</v>
      </c>
      <c r="X108" s="326"/>
      <c r="Y108" s="372">
        <f t="shared" ref="Y108:Y158" si="8">($Q$93-$Z$95)/$Q$93*R108-MAX(R108-$Z$95,0)</f>
        <v>0</v>
      </c>
      <c r="Z108" s="372">
        <f t="shared" ref="Z108:Z158" si="9">($Q$93-$Z$95)/$Q$93-IF(R108&lt;=$Z$95,0,1)</f>
        <v>0.9</v>
      </c>
      <c r="AA108" s="393">
        <f t="shared" ref="AA108:AA158" si="10">IF(R108&lt;=$Z$95,1/($Q$94*$Q$95)*(-($Q$93-$Z$95)/$Q$93*R108^3/6+$Z$100*R108)+$Q$99/($Q$97*$Q$98)*($Q$93-$Z$95)/$Q$93*R108+$Z$101,1/($Q$94*$Q$95)*($Z$95/$Q$93*R108^3/6-$Z$95*R108^2/2+$Z$102*R108)-$Q$99/($Q$97*$Q$98)*$Z$95/$Q$93*R108+$Z$103)*1000</f>
        <v>0</v>
      </c>
      <c r="AB108" s="393">
        <f t="shared" ref="AB108:AB158" si="11">IF(R108&lt;=$Z$95,1/($Q$94*$Q$96)*(-($Q$93-$Z$95)/$Q$93*R108^3/6+$Z$100*R108)+$Q$99/($Q$97*$Q$98)*($Q$93-$Z$95)/$Q$93*R108+$Z$101,1/($Q$94*$Q$96)*($Z$95/$Q$93*R108^3/6-$Z$95*R108^2/2+$Z$102*R108)-$Q$99/($Q$97*$Q$98)*$Z$95/$Q$93*R108+$Z$104)*1000</f>
        <v>0</v>
      </c>
      <c r="AC108" s="326"/>
      <c r="AD108" s="326"/>
      <c r="AE108" s="393">
        <f t="shared" ref="AE108:AF139" si="12">T108*$U$93+Y108*$Z$93</f>
        <v>0</v>
      </c>
      <c r="AF108" s="393">
        <f t="shared" si="12"/>
        <v>90</v>
      </c>
      <c r="AG108" s="393">
        <f t="shared" ref="AG108:AG158" si="13">V108*$U$94*COS(RADIANS($Q$100))+AA108*$Z$94*COS(RADIANS($Q$100))</f>
        <v>0</v>
      </c>
      <c r="AH108" s="393">
        <f t="shared" ref="AH108:AH158" si="14">W108*$U$94*SIN(RADIANS($Q$100))+AB108*$Z$94*SIN(RADIANS($Q$100))</f>
        <v>0</v>
      </c>
      <c r="AI108" s="393"/>
      <c r="AJ108" s="393"/>
      <c r="AK108" s="393"/>
      <c r="AL108" s="393"/>
      <c r="AM108" s="393"/>
      <c r="AN108" s="394"/>
      <c r="AO108" s="394"/>
      <c r="AP108" s="394"/>
      <c r="AQ108" s="394"/>
      <c r="AR108" s="394"/>
      <c r="AS108" s="394"/>
      <c r="AT108" s="394"/>
      <c r="AU108" s="394"/>
      <c r="AV108" s="394"/>
      <c r="AW108" s="394"/>
      <c r="AX108" s="389"/>
      <c r="AY108" s="389"/>
      <c r="BF108" s="15"/>
      <c r="BG108" s="15"/>
      <c r="BH108" s="15"/>
      <c r="BI108" s="16"/>
      <c r="BJ108" s="16"/>
      <c r="BK108" s="16"/>
      <c r="BL108" s="16"/>
    </row>
    <row r="109" spans="1:64" ht="12.5" x14ac:dyDescent="0.25">
      <c r="A109" s="1"/>
      <c r="B109" s="1"/>
      <c r="C109" s="1"/>
      <c r="D109" s="1"/>
      <c r="E109" s="1"/>
      <c r="F109" s="299"/>
      <c r="G109" s="299"/>
      <c r="H109" s="299"/>
      <c r="I109" s="299"/>
      <c r="J109" s="299"/>
      <c r="K109" s="299"/>
      <c r="L109" s="299"/>
      <c r="M109" s="299"/>
      <c r="N109" s="299"/>
      <c r="O109" s="1"/>
      <c r="P109" s="326"/>
      <c r="Q109" s="372">
        <v>1</v>
      </c>
      <c r="R109" s="372">
        <f t="shared" si="3"/>
        <v>0.1</v>
      </c>
      <c r="S109" s="326"/>
      <c r="T109" s="372">
        <f t="shared" si="4"/>
        <v>0.245</v>
      </c>
      <c r="U109" s="372">
        <f t="shared" si="5"/>
        <v>2.4</v>
      </c>
      <c r="V109" s="393">
        <f t="shared" si="6"/>
        <v>5.2404488944763711E-2</v>
      </c>
      <c r="W109" s="393">
        <f t="shared" si="7"/>
        <v>0.23645249456033302</v>
      </c>
      <c r="X109" s="326"/>
      <c r="Y109" s="372">
        <f t="shared" si="8"/>
        <v>9.0000000000000011E-2</v>
      </c>
      <c r="Z109" s="372">
        <f t="shared" si="9"/>
        <v>0.9</v>
      </c>
      <c r="AA109" s="393">
        <f t="shared" si="10"/>
        <v>1.0713002873563216E-2</v>
      </c>
      <c r="AB109" s="393">
        <f t="shared" si="11"/>
        <v>4.4698985383851288E-2</v>
      </c>
      <c r="AC109" s="326"/>
      <c r="AD109" s="326"/>
      <c r="AE109" s="393">
        <f t="shared" si="12"/>
        <v>9.0000000000000018</v>
      </c>
      <c r="AF109" s="393">
        <f t="shared" si="12"/>
        <v>90</v>
      </c>
      <c r="AG109" s="393">
        <f t="shared" si="13"/>
        <v>0.47476117295672032</v>
      </c>
      <c r="AH109" s="393">
        <f t="shared" si="14"/>
        <v>0.34928538099599388</v>
      </c>
      <c r="AI109" s="393"/>
      <c r="AJ109" s="393"/>
      <c r="AK109" s="393"/>
      <c r="AL109" s="393"/>
      <c r="AM109" s="393"/>
      <c r="AN109" s="394"/>
      <c r="AO109" s="394"/>
      <c r="AP109" s="394"/>
      <c r="AQ109" s="394"/>
      <c r="AR109" s="394"/>
      <c r="AS109" s="394"/>
      <c r="AT109" s="394"/>
      <c r="AU109" s="394"/>
      <c r="AV109" s="394"/>
      <c r="AW109" s="394"/>
      <c r="AX109" s="389"/>
      <c r="AY109" s="389"/>
      <c r="BF109" s="15"/>
      <c r="BG109" s="15"/>
      <c r="BH109" s="15"/>
      <c r="BI109" s="16"/>
      <c r="BJ109" s="16"/>
      <c r="BK109" s="16"/>
      <c r="BL109" s="16"/>
    </row>
    <row r="110" spans="1:64" ht="12.5" x14ac:dyDescent="0.25">
      <c r="A110" s="1"/>
      <c r="B110" s="1"/>
      <c r="C110" s="1"/>
      <c r="D110" s="1"/>
      <c r="E110" s="1"/>
      <c r="F110" s="299"/>
      <c r="G110" s="299"/>
      <c r="H110" s="299"/>
      <c r="I110" s="299"/>
      <c r="J110" s="299"/>
      <c r="K110" s="299"/>
      <c r="L110" s="299"/>
      <c r="M110" s="299"/>
      <c r="N110" s="299"/>
      <c r="O110" s="1"/>
      <c r="P110" s="326"/>
      <c r="Q110" s="372">
        <v>2</v>
      </c>
      <c r="R110" s="372">
        <f t="shared" si="3"/>
        <v>0.2</v>
      </c>
      <c r="S110" s="326"/>
      <c r="T110" s="372">
        <f t="shared" si="4"/>
        <v>0.48</v>
      </c>
      <c r="U110" s="372">
        <f t="shared" si="5"/>
        <v>2.2999999999999998</v>
      </c>
      <c r="V110" s="393">
        <f t="shared" si="6"/>
        <v>0.10435823754789268</v>
      </c>
      <c r="W110" s="393">
        <f t="shared" si="7"/>
        <v>0.47159074783595856</v>
      </c>
      <c r="X110" s="326"/>
      <c r="Y110" s="372">
        <f t="shared" si="8"/>
        <v>0.18000000000000002</v>
      </c>
      <c r="Z110" s="372">
        <f t="shared" si="9"/>
        <v>0.9</v>
      </c>
      <c r="AA110" s="393">
        <f t="shared" si="10"/>
        <v>2.1345186781609193E-2</v>
      </c>
      <c r="AB110" s="393">
        <f t="shared" si="11"/>
        <v>8.8998864765148289E-2</v>
      </c>
      <c r="AC110" s="326"/>
      <c r="AD110" s="326"/>
      <c r="AE110" s="393">
        <f t="shared" si="12"/>
        <v>18.000000000000004</v>
      </c>
      <c r="AF110" s="393">
        <f t="shared" si="12"/>
        <v>90</v>
      </c>
      <c r="AG110" s="393">
        <f t="shared" si="13"/>
        <v>0.94594074444100951</v>
      </c>
      <c r="AH110" s="393">
        <f t="shared" si="14"/>
        <v>0.69545208064021091</v>
      </c>
      <c r="AI110" s="393"/>
      <c r="AJ110" s="393"/>
      <c r="AK110" s="393"/>
      <c r="AL110" s="393"/>
      <c r="AM110" s="393"/>
      <c r="AN110" s="394"/>
      <c r="AO110" s="394"/>
      <c r="AP110" s="394"/>
      <c r="AQ110" s="394"/>
      <c r="AR110" s="394"/>
      <c r="AS110" s="394"/>
      <c r="AT110" s="394"/>
      <c r="AU110" s="394"/>
      <c r="AV110" s="394"/>
      <c r="AW110" s="394"/>
      <c r="AX110" s="389"/>
      <c r="AY110" s="389"/>
      <c r="BF110" s="15"/>
      <c r="BG110" s="15"/>
      <c r="BH110" s="15"/>
      <c r="BI110" s="16"/>
      <c r="BJ110" s="16"/>
      <c r="BK110" s="16"/>
      <c r="BL110" s="16"/>
    </row>
    <row r="111" spans="1:64" ht="12.5" x14ac:dyDescent="0.25">
      <c r="A111" s="1"/>
      <c r="B111" s="1"/>
      <c r="C111" s="1"/>
      <c r="D111" s="1"/>
      <c r="E111" s="1"/>
      <c r="F111" s="395"/>
      <c r="G111" s="395"/>
      <c r="H111" s="395"/>
      <c r="I111" s="395"/>
      <c r="J111" s="395"/>
      <c r="K111" s="395"/>
      <c r="L111" s="395"/>
      <c r="M111" s="395"/>
      <c r="O111" s="1"/>
      <c r="P111" s="326"/>
      <c r="Q111" s="372">
        <v>3</v>
      </c>
      <c r="R111" s="372">
        <f t="shared" si="3"/>
        <v>0.30000000000000004</v>
      </c>
      <c r="S111" s="326"/>
      <c r="T111" s="372">
        <f t="shared" si="4"/>
        <v>0.70500000000000007</v>
      </c>
      <c r="U111" s="372">
        <f t="shared" si="5"/>
        <v>2.2000000000000002</v>
      </c>
      <c r="V111" s="393">
        <f t="shared" si="6"/>
        <v>0.15565021851053637</v>
      </c>
      <c r="W111" s="393">
        <f t="shared" si="7"/>
        <v>0.70437264970909619</v>
      </c>
      <c r="X111" s="326"/>
      <c r="Y111" s="372">
        <f t="shared" si="8"/>
        <v>0.27000000000000007</v>
      </c>
      <c r="Z111" s="372">
        <f t="shared" si="9"/>
        <v>0.9</v>
      </c>
      <c r="AA111" s="393">
        <f t="shared" si="10"/>
        <v>3.1815732758620686E-2</v>
      </c>
      <c r="AB111" s="393">
        <f t="shared" si="11"/>
        <v>0.13250053214133678</v>
      </c>
      <c r="AC111" s="326"/>
      <c r="AD111" s="326"/>
      <c r="AE111" s="393">
        <f t="shared" si="12"/>
        <v>27.000000000000007</v>
      </c>
      <c r="AF111" s="393">
        <f t="shared" si="12"/>
        <v>90</v>
      </c>
      <c r="AG111" s="393">
        <f t="shared" si="13"/>
        <v>1.409957112980436</v>
      </c>
      <c r="AH111" s="393">
        <f t="shared" si="14"/>
        <v>1.0353814175808747</v>
      </c>
      <c r="AI111" s="393"/>
      <c r="AJ111" s="393"/>
      <c r="AK111" s="393"/>
      <c r="AL111" s="393"/>
      <c r="AM111" s="393"/>
      <c r="AN111" s="394"/>
      <c r="AO111" s="394"/>
      <c r="AP111" s="394"/>
      <c r="AQ111" s="394"/>
      <c r="AR111" s="394"/>
      <c r="AS111" s="394"/>
      <c r="AT111" s="394"/>
      <c r="AU111" s="394"/>
      <c r="AV111" s="394"/>
      <c r="AW111" s="394"/>
      <c r="AX111" s="389"/>
      <c r="AY111" s="389"/>
      <c r="BF111" s="15"/>
      <c r="BG111" s="15"/>
      <c r="BH111" s="15"/>
      <c r="BI111" s="16"/>
      <c r="BJ111" s="16"/>
      <c r="BK111" s="16"/>
      <c r="BL111" s="16"/>
    </row>
    <row r="112" spans="1:64" ht="12.5" x14ac:dyDescent="0.25">
      <c r="A112" s="1"/>
      <c r="B112" s="1"/>
      <c r="C112" s="1"/>
      <c r="D112" s="1"/>
      <c r="E112" s="1"/>
      <c r="F112" s="396" t="s">
        <v>353</v>
      </c>
      <c r="G112" s="397"/>
      <c r="H112" s="397"/>
      <c r="I112" s="397"/>
      <c r="J112" s="397"/>
      <c r="K112" s="397"/>
      <c r="L112" s="397"/>
      <c r="M112" s="397"/>
      <c r="N112" s="398"/>
      <c r="O112" s="1"/>
      <c r="P112" s="326"/>
      <c r="Q112" s="372">
        <v>4</v>
      </c>
      <c r="R112" s="372">
        <f t="shared" si="3"/>
        <v>0.4</v>
      </c>
      <c r="S112" s="326"/>
      <c r="T112" s="372">
        <f t="shared" si="4"/>
        <v>0.91999999999999993</v>
      </c>
      <c r="U112" s="372">
        <f t="shared" si="5"/>
        <v>2.1</v>
      </c>
      <c r="V112" s="393">
        <f t="shared" si="6"/>
        <v>0.20607838441890164</v>
      </c>
      <c r="W112" s="393">
        <f t="shared" si="7"/>
        <v>0.93380043517335998</v>
      </c>
      <c r="X112" s="326"/>
      <c r="Y112" s="372">
        <f t="shared" si="8"/>
        <v>0.36000000000000004</v>
      </c>
      <c r="Z112" s="372">
        <f t="shared" si="9"/>
        <v>0.9</v>
      </c>
      <c r="AA112" s="393">
        <f t="shared" si="10"/>
        <v>4.2043821839080453E-2</v>
      </c>
      <c r="AB112" s="393">
        <f t="shared" si="11"/>
        <v>0.17480488150986237</v>
      </c>
      <c r="AC112" s="326"/>
      <c r="AD112" s="326"/>
      <c r="AE112" s="393">
        <f t="shared" si="12"/>
        <v>36.000000000000007</v>
      </c>
      <c r="AF112" s="393">
        <f t="shared" si="12"/>
        <v>90</v>
      </c>
      <c r="AG112" s="393">
        <f t="shared" si="13"/>
        <v>1.8632286771025688</v>
      </c>
      <c r="AH112" s="393">
        <f t="shared" si="14"/>
        <v>1.365954710466208</v>
      </c>
      <c r="AI112" s="393"/>
      <c r="AJ112" s="393"/>
      <c r="AK112" s="393"/>
      <c r="AL112" s="393"/>
      <c r="AM112" s="393"/>
      <c r="AN112" s="394"/>
      <c r="AO112" s="394"/>
      <c r="AP112" s="394"/>
      <c r="AQ112" s="394"/>
      <c r="AR112" s="394"/>
      <c r="AS112" s="394"/>
      <c r="AT112" s="394"/>
      <c r="AU112" s="394"/>
      <c r="AV112" s="394"/>
      <c r="AW112" s="394"/>
      <c r="AX112" s="389"/>
      <c r="AY112" s="389"/>
      <c r="BF112" s="15"/>
      <c r="BG112" s="15"/>
      <c r="BH112" s="15"/>
      <c r="BI112" s="16"/>
      <c r="BJ112" s="16"/>
      <c r="BK112" s="16"/>
      <c r="BL112" s="16"/>
    </row>
    <row r="113" spans="1:64" ht="12.5" x14ac:dyDescent="0.25">
      <c r="A113" s="1"/>
      <c r="B113" s="1"/>
      <c r="C113" s="1"/>
      <c r="D113" s="1"/>
      <c r="E113" s="1"/>
      <c r="F113" s="399"/>
      <c r="G113" s="399"/>
      <c r="H113" s="399"/>
      <c r="I113" s="399"/>
      <c r="J113" s="399"/>
      <c r="K113" s="399"/>
      <c r="L113" s="399"/>
      <c r="M113" s="399"/>
      <c r="N113" s="399"/>
      <c r="O113" s="1"/>
      <c r="P113" s="326"/>
      <c r="Q113" s="372">
        <v>5</v>
      </c>
      <c r="R113" s="372">
        <f t="shared" si="3"/>
        <v>0.5</v>
      </c>
      <c r="S113" s="326"/>
      <c r="T113" s="372">
        <f t="shared" si="4"/>
        <v>1.125</v>
      </c>
      <c r="U113" s="372">
        <f t="shared" si="5"/>
        <v>2</v>
      </c>
      <c r="V113" s="393">
        <f t="shared" si="6"/>
        <v>0.25544966774425276</v>
      </c>
      <c r="W113" s="393">
        <f t="shared" si="7"/>
        <v>1.1589206843337592</v>
      </c>
      <c r="X113" s="326"/>
      <c r="Y113" s="372">
        <f t="shared" si="8"/>
        <v>0.45</v>
      </c>
      <c r="Z113" s="372">
        <f t="shared" si="9"/>
        <v>0.9</v>
      </c>
      <c r="AA113" s="393">
        <f t="shared" si="10"/>
        <v>5.194863505747125E-2</v>
      </c>
      <c r="AB113" s="393">
        <f t="shared" si="11"/>
        <v>0.21551280686817087</v>
      </c>
      <c r="AC113" s="326"/>
      <c r="AD113" s="326"/>
      <c r="AE113" s="393">
        <f t="shared" si="12"/>
        <v>45</v>
      </c>
      <c r="AF113" s="393">
        <f t="shared" si="12"/>
        <v>90</v>
      </c>
      <c r="AG113" s="393">
        <f t="shared" si="13"/>
        <v>2.3021738353349765</v>
      </c>
      <c r="AH113" s="393">
        <f t="shared" si="14"/>
        <v>1.6840532779444339</v>
      </c>
      <c r="AI113" s="393"/>
      <c r="AJ113" s="393"/>
      <c r="AK113" s="393"/>
      <c r="AL113" s="393"/>
      <c r="AM113" s="393"/>
      <c r="AN113" s="394"/>
      <c r="AO113" s="394"/>
      <c r="AP113" s="394"/>
      <c r="AQ113" s="394"/>
      <c r="AR113" s="394"/>
      <c r="AS113" s="394"/>
      <c r="AT113" s="394"/>
      <c r="AU113" s="394"/>
      <c r="AV113" s="394"/>
      <c r="AW113" s="394"/>
      <c r="AX113" s="389"/>
      <c r="AY113" s="389"/>
      <c r="BF113" s="15"/>
      <c r="BG113" s="15"/>
      <c r="BH113" s="15"/>
      <c r="BI113" s="16"/>
      <c r="BJ113" s="16"/>
      <c r="BK113" s="16"/>
      <c r="BL113" s="16"/>
    </row>
    <row r="114" spans="1:64" ht="15" customHeight="1" x14ac:dyDescent="0.25">
      <c r="A114" s="1"/>
      <c r="B114" s="1"/>
      <c r="C114" s="1"/>
      <c r="D114" s="1"/>
      <c r="E114" s="1"/>
      <c r="F114" s="178" t="s">
        <v>354</v>
      </c>
      <c r="G114" s="179"/>
      <c r="H114" s="76">
        <f>M24</f>
        <v>0</v>
      </c>
      <c r="I114" s="178" t="s">
        <v>23</v>
      </c>
      <c r="J114" s="178"/>
      <c r="K114" s="35"/>
      <c r="L114" s="35"/>
      <c r="M114" s="35"/>
      <c r="N114" s="35"/>
      <c r="O114" s="1"/>
      <c r="P114" s="326"/>
      <c r="Q114" s="372">
        <v>6</v>
      </c>
      <c r="R114" s="372">
        <f t="shared" si="3"/>
        <v>0.60000000000000009</v>
      </c>
      <c r="S114" s="326"/>
      <c r="T114" s="372">
        <f t="shared" si="4"/>
        <v>1.3200000000000003</v>
      </c>
      <c r="U114" s="372">
        <f t="shared" si="5"/>
        <v>1.9</v>
      </c>
      <c r="V114" s="393">
        <f t="shared" si="6"/>
        <v>0.30357998084291188</v>
      </c>
      <c r="W114" s="393">
        <f t="shared" si="7"/>
        <v>1.3788243224066983</v>
      </c>
      <c r="X114" s="326"/>
      <c r="Y114" s="372">
        <f t="shared" si="8"/>
        <v>0.44000000000000006</v>
      </c>
      <c r="Z114" s="372">
        <f t="shared" si="9"/>
        <v>-9.9999999999999978E-2</v>
      </c>
      <c r="AA114" s="393">
        <f t="shared" si="10"/>
        <v>4.5679677522349929E-2</v>
      </c>
      <c r="AB114" s="393">
        <f t="shared" si="11"/>
        <v>0.18546662882550496</v>
      </c>
      <c r="AC114" s="326"/>
      <c r="AD114" s="326"/>
      <c r="AE114" s="393">
        <f t="shared" si="12"/>
        <v>44.000000000000007</v>
      </c>
      <c r="AF114" s="393">
        <f t="shared" si="12"/>
        <v>-9.9999999999999982</v>
      </c>
      <c r="AG114" s="393">
        <f t="shared" si="13"/>
        <v>2.0243565260598464</v>
      </c>
      <c r="AH114" s="393">
        <f t="shared" si="14"/>
        <v>1.4492673951110058</v>
      </c>
      <c r="AI114" s="393"/>
      <c r="AJ114" s="393"/>
      <c r="AK114" s="393"/>
      <c r="AL114" s="393"/>
      <c r="AM114" s="393"/>
      <c r="AN114" s="394"/>
      <c r="AO114" s="394"/>
      <c r="AP114" s="394"/>
      <c r="AQ114" s="394"/>
      <c r="AR114" s="394"/>
      <c r="AS114" s="394"/>
      <c r="AT114" s="394"/>
      <c r="AU114" s="394"/>
      <c r="AV114" s="394"/>
      <c r="AW114" s="394"/>
      <c r="AX114" s="389"/>
      <c r="AY114" s="389"/>
      <c r="BF114" s="15"/>
      <c r="BG114" s="15"/>
      <c r="BH114" s="15"/>
      <c r="BI114" s="16"/>
      <c r="BJ114" s="16"/>
      <c r="BK114" s="16"/>
      <c r="BL114" s="16"/>
    </row>
    <row r="115" spans="1:64" ht="15" customHeight="1" x14ac:dyDescent="0.25">
      <c r="A115" s="1"/>
      <c r="B115" s="1"/>
      <c r="C115" s="1"/>
      <c r="D115" s="1"/>
      <c r="E115" s="1"/>
      <c r="F115" s="75" t="s">
        <v>355</v>
      </c>
      <c r="G115" s="178"/>
      <c r="H115" s="76"/>
      <c r="I115" s="178"/>
      <c r="J115" s="178"/>
      <c r="K115" s="35"/>
      <c r="L115" s="35"/>
      <c r="M115" s="35"/>
      <c r="N115" s="35"/>
      <c r="O115" s="1"/>
      <c r="P115" s="326"/>
      <c r="Q115" s="372">
        <v>7</v>
      </c>
      <c r="R115" s="372">
        <f t="shared" si="3"/>
        <v>0.70000000000000007</v>
      </c>
      <c r="S115" s="326"/>
      <c r="T115" s="372">
        <f t="shared" si="4"/>
        <v>1.5050000000000001</v>
      </c>
      <c r="U115" s="372">
        <f t="shared" si="5"/>
        <v>1.7999999999999998</v>
      </c>
      <c r="V115" s="393">
        <f t="shared" si="6"/>
        <v>0.35029421595625787</v>
      </c>
      <c r="W115" s="393">
        <f t="shared" si="7"/>
        <v>1.5926466197199756</v>
      </c>
      <c r="X115" s="326"/>
      <c r="Y115" s="372">
        <f t="shared" si="8"/>
        <v>0.43000000000000005</v>
      </c>
      <c r="Z115" s="372">
        <f t="shared" si="9"/>
        <v>-9.9999999999999978E-2</v>
      </c>
      <c r="AA115" s="393">
        <f t="shared" si="10"/>
        <v>5.0240461366538938E-2</v>
      </c>
      <c r="AB115" s="393">
        <f t="shared" si="11"/>
        <v>0.20890065512511238</v>
      </c>
      <c r="AC115" s="326"/>
      <c r="AD115" s="326"/>
      <c r="AE115" s="393">
        <f t="shared" si="12"/>
        <v>43.000000000000007</v>
      </c>
      <c r="AF115" s="393">
        <f t="shared" si="12"/>
        <v>-9.9999999999999982</v>
      </c>
      <c r="AG115" s="393">
        <f t="shared" si="13"/>
        <v>2.2264738140905038</v>
      </c>
      <c r="AH115" s="393">
        <f t="shared" si="14"/>
        <v>1.6323848134156644</v>
      </c>
      <c r="AI115" s="393"/>
      <c r="AJ115" s="393"/>
      <c r="AK115" s="393"/>
      <c r="AL115" s="393"/>
      <c r="AM115" s="393"/>
      <c r="AN115" s="394"/>
      <c r="AO115" s="394"/>
      <c r="AP115" s="394"/>
      <c r="AQ115" s="394"/>
      <c r="AR115" s="394"/>
      <c r="AS115" s="394"/>
      <c r="AT115" s="394"/>
      <c r="AU115" s="394"/>
      <c r="AV115" s="394"/>
      <c r="AW115" s="394"/>
      <c r="AX115" s="389"/>
      <c r="AY115" s="389"/>
      <c r="BF115" s="15"/>
      <c r="BG115" s="15"/>
      <c r="BH115" s="15"/>
      <c r="BI115" s="16"/>
      <c r="BJ115" s="16"/>
      <c r="BK115" s="16"/>
      <c r="BL115" s="16"/>
    </row>
    <row r="116" spans="1:64" ht="15" customHeight="1" x14ac:dyDescent="0.25">
      <c r="A116" s="1"/>
      <c r="B116" s="1"/>
      <c r="C116" s="1"/>
      <c r="D116" s="1"/>
      <c r="E116" s="1"/>
      <c r="F116" s="400" t="s">
        <v>356</v>
      </c>
      <c r="G116" s="178"/>
      <c r="H116" s="178"/>
      <c r="I116" s="178"/>
      <c r="J116" s="178"/>
      <c r="K116" s="35"/>
      <c r="L116" s="35"/>
      <c r="M116" s="35"/>
      <c r="N116" s="35"/>
      <c r="O116" s="1"/>
      <c r="P116" s="326"/>
      <c r="Q116" s="372">
        <v>8</v>
      </c>
      <c r="R116" s="372">
        <f t="shared" si="3"/>
        <v>0.8</v>
      </c>
      <c r="S116" s="326"/>
      <c r="T116" s="372">
        <f t="shared" si="4"/>
        <v>1.68</v>
      </c>
      <c r="U116" s="372">
        <f t="shared" si="5"/>
        <v>1.7</v>
      </c>
      <c r="V116" s="393">
        <f t="shared" si="6"/>
        <v>0.39542624521072783</v>
      </c>
      <c r="W116" s="393">
        <f t="shared" si="7"/>
        <v>1.7995671917127856</v>
      </c>
      <c r="X116" s="326"/>
      <c r="Y116" s="372">
        <f t="shared" si="8"/>
        <v>0.42000000000000004</v>
      </c>
      <c r="Z116" s="372">
        <f t="shared" si="9"/>
        <v>-9.9999999999999978E-2</v>
      </c>
      <c r="AA116" s="393">
        <f t="shared" si="10"/>
        <v>5.4415110153256688E-2</v>
      </c>
      <c r="AB116" s="393">
        <f t="shared" si="11"/>
        <v>0.2304278416347382</v>
      </c>
      <c r="AC116" s="326"/>
      <c r="AD116" s="326"/>
      <c r="AE116" s="393">
        <f t="shared" si="12"/>
        <v>42.000000000000007</v>
      </c>
      <c r="AF116" s="393">
        <f t="shared" si="12"/>
        <v>-9.9999999999999982</v>
      </c>
      <c r="AG116" s="393">
        <f t="shared" si="13"/>
        <v>2.411479006197323</v>
      </c>
      <c r="AH116" s="393">
        <f t="shared" si="14"/>
        <v>1.8006018652618339</v>
      </c>
      <c r="AI116" s="393"/>
      <c r="AJ116" s="393"/>
      <c r="AK116" s="393"/>
      <c r="AL116" s="393"/>
      <c r="AM116" s="393"/>
      <c r="AN116" s="394"/>
      <c r="AO116" s="394"/>
      <c r="AP116" s="394"/>
      <c r="AQ116" s="394"/>
      <c r="AR116" s="394"/>
      <c r="AS116" s="394"/>
      <c r="AT116" s="394"/>
      <c r="AU116" s="394"/>
      <c r="AV116" s="394"/>
      <c r="AW116" s="394"/>
      <c r="AX116" s="389"/>
      <c r="AY116" s="389"/>
      <c r="BF116" s="15"/>
      <c r="BG116" s="15"/>
      <c r="BH116" s="15"/>
      <c r="BI116" s="16"/>
      <c r="BJ116" s="16"/>
      <c r="BK116" s="16"/>
      <c r="BL116" s="16"/>
    </row>
    <row r="117" spans="1:64" ht="15" customHeight="1" x14ac:dyDescent="0.25">
      <c r="A117" s="1"/>
      <c r="B117" s="1"/>
      <c r="C117" s="1"/>
      <c r="D117" s="1"/>
      <c r="E117" s="1"/>
      <c r="F117" s="178" t="s">
        <v>357</v>
      </c>
      <c r="G117" s="35"/>
      <c r="H117" s="357" t="s">
        <v>358</v>
      </c>
      <c r="I117" s="178"/>
      <c r="J117" s="178"/>
      <c r="K117" s="178"/>
      <c r="L117" s="178"/>
      <c r="M117" s="178"/>
      <c r="N117" s="178"/>
      <c r="O117" s="10"/>
      <c r="P117" s="326"/>
      <c r="Q117" s="372">
        <v>9</v>
      </c>
      <c r="R117" s="372">
        <f t="shared" si="3"/>
        <v>0.9</v>
      </c>
      <c r="S117" s="326"/>
      <c r="T117" s="372">
        <f t="shared" si="4"/>
        <v>1.845</v>
      </c>
      <c r="U117" s="372">
        <f t="shared" si="5"/>
        <v>1.6</v>
      </c>
      <c r="V117" s="393">
        <f t="shared" si="6"/>
        <v>0.43881892061781597</v>
      </c>
      <c r="W117" s="393">
        <f t="shared" si="7"/>
        <v>1.9988099989357173</v>
      </c>
      <c r="X117" s="326"/>
      <c r="Y117" s="372">
        <f t="shared" si="8"/>
        <v>0.41000000000000003</v>
      </c>
      <c r="Z117" s="372">
        <f t="shared" si="9"/>
        <v>-9.9999999999999978E-2</v>
      </c>
      <c r="AA117" s="393">
        <f t="shared" si="10"/>
        <v>5.8212603767560649E-2</v>
      </c>
      <c r="AB117" s="393">
        <f t="shared" si="11"/>
        <v>0.25009253346577742</v>
      </c>
      <c r="AC117" s="326"/>
      <c r="AD117" s="326"/>
      <c r="AE117" s="393">
        <f t="shared" si="12"/>
        <v>41</v>
      </c>
      <c r="AF117" s="393">
        <f t="shared" si="12"/>
        <v>-9.9999999999999982</v>
      </c>
      <c r="AG117" s="393">
        <f t="shared" si="13"/>
        <v>2.5797700580994629</v>
      </c>
      <c r="AH117" s="393">
        <f t="shared" si="14"/>
        <v>1.9542650707997116</v>
      </c>
      <c r="AI117" s="393"/>
      <c r="AJ117" s="393"/>
      <c r="AK117" s="393"/>
      <c r="AL117" s="393"/>
      <c r="AM117" s="393"/>
      <c r="AN117" s="394"/>
      <c r="AO117" s="394"/>
      <c r="AP117" s="394"/>
      <c r="AQ117" s="394"/>
      <c r="AR117" s="394"/>
      <c r="AS117" s="394"/>
      <c r="AT117" s="394"/>
      <c r="AU117" s="394"/>
      <c r="AV117" s="394"/>
      <c r="AW117" s="394"/>
      <c r="AX117" s="389"/>
      <c r="AY117" s="389"/>
      <c r="BF117" s="15"/>
      <c r="BG117" s="15"/>
      <c r="BH117" s="15"/>
      <c r="BI117" s="16"/>
      <c r="BJ117" s="16"/>
      <c r="BK117" s="16"/>
      <c r="BL117" s="16"/>
    </row>
    <row r="118" spans="1:64" ht="13.5" customHeight="1" x14ac:dyDescent="0.25">
      <c r="A118" s="1"/>
      <c r="B118" s="1"/>
      <c r="C118" s="1"/>
      <c r="D118" s="1"/>
      <c r="E118" s="1"/>
      <c r="F118" s="178" t="s">
        <v>359</v>
      </c>
      <c r="G118" s="35"/>
      <c r="H118" s="357" t="s">
        <v>360</v>
      </c>
      <c r="I118" s="178"/>
      <c r="J118" s="178"/>
      <c r="K118" s="178"/>
      <c r="L118" s="178"/>
      <c r="M118" s="178"/>
      <c r="N118" s="178"/>
      <c r="O118" s="1"/>
      <c r="P118" s="326"/>
      <c r="Q118" s="372">
        <v>10</v>
      </c>
      <c r="R118" s="372">
        <f t="shared" si="3"/>
        <v>1</v>
      </c>
      <c r="S118" s="326"/>
      <c r="T118" s="372">
        <f t="shared" si="4"/>
        <v>2</v>
      </c>
      <c r="U118" s="372">
        <f t="shared" si="5"/>
        <v>1.5</v>
      </c>
      <c r="V118" s="393">
        <f t="shared" si="6"/>
        <v>0.4803240740740739</v>
      </c>
      <c r="W118" s="393">
        <f t="shared" si="7"/>
        <v>2.1896433470507546</v>
      </c>
      <c r="X118" s="326"/>
      <c r="Y118" s="372">
        <f t="shared" si="8"/>
        <v>0.4</v>
      </c>
      <c r="Z118" s="372">
        <f t="shared" si="9"/>
        <v>-9.9999999999999978E-2</v>
      </c>
      <c r="AA118" s="393">
        <f t="shared" si="10"/>
        <v>6.1641922094508292E-2</v>
      </c>
      <c r="AB118" s="393">
        <f t="shared" si="11"/>
        <v>0.26793907572962494</v>
      </c>
      <c r="AC118" s="326"/>
      <c r="AD118" s="326"/>
      <c r="AE118" s="393">
        <f t="shared" si="12"/>
        <v>40</v>
      </c>
      <c r="AF118" s="393">
        <f t="shared" si="12"/>
        <v>-9.9999999999999982</v>
      </c>
      <c r="AG118" s="393">
        <f t="shared" si="13"/>
        <v>2.7317449255160828</v>
      </c>
      <c r="AH118" s="393">
        <f t="shared" si="14"/>
        <v>2.0937209501794958</v>
      </c>
      <c r="AI118" s="393"/>
      <c r="AJ118" s="393"/>
      <c r="AK118" s="393"/>
      <c r="AL118" s="393"/>
      <c r="AM118" s="393"/>
      <c r="AN118" s="394"/>
      <c r="AO118" s="394"/>
      <c r="AP118" s="394"/>
      <c r="AQ118" s="394"/>
      <c r="AR118" s="394"/>
      <c r="AS118" s="394"/>
      <c r="AT118" s="394"/>
      <c r="AU118" s="394"/>
      <c r="AV118" s="394"/>
      <c r="AW118" s="394"/>
      <c r="AX118" s="389"/>
      <c r="AY118" s="389"/>
      <c r="BF118" s="15"/>
      <c r="BG118" s="15"/>
      <c r="BH118" s="15"/>
      <c r="BI118" s="16"/>
      <c r="BJ118" s="16"/>
      <c r="BK118" s="16"/>
      <c r="BL118" s="16"/>
    </row>
    <row r="119" spans="1:64" ht="13.5" customHeight="1" x14ac:dyDescent="0.25">
      <c r="A119" s="1"/>
      <c r="B119" s="1"/>
      <c r="C119" s="1"/>
      <c r="D119" s="1"/>
      <c r="E119" s="1"/>
      <c r="F119" s="178" t="s">
        <v>361</v>
      </c>
      <c r="G119" s="35"/>
      <c r="H119" s="357" t="s">
        <v>362</v>
      </c>
      <c r="I119" s="178"/>
      <c r="J119" s="35"/>
      <c r="K119" s="35"/>
      <c r="L119" s="178"/>
      <c r="M119" s="178"/>
      <c r="N119" s="178"/>
      <c r="O119" s="1"/>
      <c r="P119" s="326"/>
      <c r="Q119" s="372">
        <v>11</v>
      </c>
      <c r="R119" s="372">
        <f t="shared" si="3"/>
        <v>1.1000000000000001</v>
      </c>
      <c r="S119" s="326"/>
      <c r="T119" s="372">
        <f t="shared" si="4"/>
        <v>2.145</v>
      </c>
      <c r="U119" s="372">
        <f t="shared" si="5"/>
        <v>1.4</v>
      </c>
      <c r="V119" s="393">
        <f t="shared" si="6"/>
        <v>0.51980251736111094</v>
      </c>
      <c r="W119" s="393">
        <f t="shared" si="7"/>
        <v>2.3713798868312757</v>
      </c>
      <c r="X119" s="326"/>
      <c r="Y119" s="372">
        <f t="shared" si="8"/>
        <v>0.39</v>
      </c>
      <c r="Z119" s="372">
        <f t="shared" si="9"/>
        <v>-9.9999999999999978E-2</v>
      </c>
      <c r="AA119" s="393">
        <f t="shared" si="10"/>
        <v>6.4712045019157075E-2</v>
      </c>
      <c r="AB119" s="393">
        <f t="shared" si="11"/>
        <v>0.28401181353767563</v>
      </c>
      <c r="AC119" s="326"/>
      <c r="AD119" s="326"/>
      <c r="AE119" s="393">
        <f t="shared" si="12"/>
        <v>39</v>
      </c>
      <c r="AF119" s="393">
        <f t="shared" si="12"/>
        <v>-9.9999999999999982</v>
      </c>
      <c r="AG119" s="393">
        <f t="shared" si="13"/>
        <v>2.8678015641663417</v>
      </c>
      <c r="AH119" s="393">
        <f t="shared" si="14"/>
        <v>2.2193160235513822</v>
      </c>
      <c r="AI119" s="393"/>
      <c r="AJ119" s="393"/>
      <c r="AK119" s="393"/>
      <c r="AL119" s="393"/>
      <c r="AM119" s="393"/>
      <c r="AN119" s="394"/>
      <c r="AO119" s="394"/>
      <c r="AP119" s="394"/>
      <c r="AQ119" s="394"/>
      <c r="AR119" s="394"/>
      <c r="AS119" s="394"/>
      <c r="AT119" s="394"/>
      <c r="AU119" s="394"/>
      <c r="AV119" s="394"/>
      <c r="AW119" s="394"/>
      <c r="AX119" s="389"/>
      <c r="AY119" s="389"/>
      <c r="BF119" s="15"/>
      <c r="BG119" s="15"/>
      <c r="BH119" s="15"/>
      <c r="BI119" s="16"/>
      <c r="BJ119" s="16"/>
      <c r="BK119" s="16"/>
      <c r="BL119" s="16"/>
    </row>
    <row r="120" spans="1:64" ht="13.5" customHeight="1" x14ac:dyDescent="0.25">
      <c r="A120" s="1"/>
      <c r="B120" s="1"/>
      <c r="C120" s="1"/>
      <c r="D120" s="1"/>
      <c r="E120" s="1"/>
      <c r="F120" s="178" t="s">
        <v>363</v>
      </c>
      <c r="G120" s="35"/>
      <c r="H120" s="357" t="s">
        <v>364</v>
      </c>
      <c r="I120" s="178"/>
      <c r="J120" s="35"/>
      <c r="K120" s="35"/>
      <c r="L120" s="178"/>
      <c r="M120" s="178"/>
      <c r="N120" s="178"/>
      <c r="O120" s="1"/>
      <c r="P120" s="326"/>
      <c r="Q120" s="372">
        <v>12</v>
      </c>
      <c r="R120" s="372">
        <f t="shared" si="3"/>
        <v>1.2000000000000002</v>
      </c>
      <c r="S120" s="326"/>
      <c r="T120" s="372">
        <f t="shared" si="4"/>
        <v>2.2800000000000002</v>
      </c>
      <c r="U120" s="372">
        <f t="shared" si="5"/>
        <v>1.2999999999999998</v>
      </c>
      <c r="V120" s="393">
        <f t="shared" si="6"/>
        <v>0.55712404214559375</v>
      </c>
      <c r="W120" s="393">
        <f t="shared" si="7"/>
        <v>2.5433766141620553</v>
      </c>
      <c r="X120" s="326"/>
      <c r="Y120" s="372">
        <f t="shared" si="8"/>
        <v>0.38000000000000012</v>
      </c>
      <c r="Z120" s="372">
        <f t="shared" si="9"/>
        <v>-9.9999999999999978E-2</v>
      </c>
      <c r="AA120" s="393">
        <f t="shared" si="10"/>
        <v>6.7431952426564468E-2</v>
      </c>
      <c r="AB120" s="393">
        <f t="shared" si="11"/>
        <v>0.29835509200132448</v>
      </c>
      <c r="AC120" s="326"/>
      <c r="AD120" s="326"/>
      <c r="AE120" s="393">
        <f t="shared" si="12"/>
        <v>38.000000000000014</v>
      </c>
      <c r="AF120" s="393">
        <f t="shared" si="12"/>
        <v>-9.9999999999999982</v>
      </c>
      <c r="AG120" s="393">
        <f t="shared" si="13"/>
        <v>2.9883379297693979</v>
      </c>
      <c r="AH120" s="393">
        <f t="shared" si="14"/>
        <v>2.3313968110655701</v>
      </c>
      <c r="AI120" s="393"/>
      <c r="AJ120" s="393"/>
      <c r="AK120" s="393"/>
      <c r="AL120" s="393"/>
      <c r="AM120" s="393"/>
      <c r="AN120" s="394"/>
      <c r="AO120" s="394"/>
      <c r="AP120" s="394"/>
      <c r="AQ120" s="394"/>
      <c r="AR120" s="394"/>
      <c r="AS120" s="394"/>
      <c r="AT120" s="394"/>
      <c r="AU120" s="394"/>
      <c r="AV120" s="394"/>
      <c r="AW120" s="394"/>
      <c r="AX120" s="389"/>
      <c r="AY120" s="389"/>
      <c r="BF120" s="15"/>
      <c r="BG120" s="15"/>
      <c r="BH120" s="15"/>
      <c r="BI120" s="16"/>
      <c r="BJ120" s="16"/>
      <c r="BK120" s="16"/>
      <c r="BL120" s="16"/>
    </row>
    <row r="121" spans="1:64" ht="13.5" customHeight="1" x14ac:dyDescent="0.25">
      <c r="A121" s="1"/>
      <c r="B121" s="1"/>
      <c r="C121" s="1"/>
      <c r="D121" s="1"/>
      <c r="E121" s="1"/>
      <c r="F121" s="35"/>
      <c r="G121" s="35"/>
      <c r="H121" s="35"/>
      <c r="I121" s="35"/>
      <c r="J121" s="35"/>
      <c r="K121" s="35"/>
      <c r="L121" s="35"/>
      <c r="M121" s="35"/>
      <c r="N121" s="178"/>
      <c r="O121" s="1"/>
      <c r="P121" s="326"/>
      <c r="Q121" s="372">
        <v>13</v>
      </c>
      <c r="R121" s="372">
        <f t="shared" si="3"/>
        <v>1.3</v>
      </c>
      <c r="S121" s="326"/>
      <c r="T121" s="372">
        <f t="shared" si="4"/>
        <v>2.4049999999999998</v>
      </c>
      <c r="U121" s="372">
        <f t="shared" si="5"/>
        <v>1.2</v>
      </c>
      <c r="V121" s="393">
        <f t="shared" si="6"/>
        <v>0.59216741997924627</v>
      </c>
      <c r="W121" s="393">
        <f t="shared" si="7"/>
        <v>2.7050348700392601</v>
      </c>
      <c r="X121" s="326"/>
      <c r="Y121" s="372">
        <f t="shared" si="8"/>
        <v>0.37000000000000011</v>
      </c>
      <c r="Z121" s="372">
        <f t="shared" si="9"/>
        <v>-9.9999999999999978E-2</v>
      </c>
      <c r="AA121" s="393">
        <f t="shared" si="10"/>
        <v>6.9810624201787977E-2</v>
      </c>
      <c r="AB121" s="393">
        <f t="shared" si="11"/>
        <v>0.31101325623196635</v>
      </c>
      <c r="AC121" s="326"/>
      <c r="AD121" s="326"/>
      <c r="AE121" s="393">
        <f t="shared" si="12"/>
        <v>37.000000000000014</v>
      </c>
      <c r="AF121" s="393">
        <f t="shared" si="12"/>
        <v>-9.9999999999999982</v>
      </c>
      <c r="AG121" s="393">
        <f t="shared" si="13"/>
        <v>3.0937519780444118</v>
      </c>
      <c r="AH121" s="393">
        <f t="shared" si="14"/>
        <v>2.4303098328722559</v>
      </c>
      <c r="AI121" s="393"/>
      <c r="AJ121" s="393"/>
      <c r="AK121" s="393"/>
      <c r="AL121" s="393"/>
      <c r="AM121" s="393"/>
      <c r="AN121" s="394"/>
      <c r="AO121" s="394"/>
      <c r="AP121" s="394"/>
      <c r="AQ121" s="394"/>
      <c r="AR121" s="394"/>
      <c r="AS121" s="394"/>
      <c r="AT121" s="394"/>
      <c r="AU121" s="394"/>
      <c r="AV121" s="394"/>
      <c r="AW121" s="394"/>
      <c r="AX121" s="389"/>
      <c r="AY121" s="389"/>
      <c r="BF121" s="15"/>
      <c r="BG121" s="15"/>
      <c r="BH121" s="15"/>
      <c r="BI121" s="16"/>
      <c r="BJ121" s="16"/>
      <c r="BK121" s="16"/>
      <c r="BL121" s="16"/>
    </row>
    <row r="122" spans="1:64" ht="15" customHeight="1" x14ac:dyDescent="0.25">
      <c r="A122" s="1"/>
      <c r="B122" s="1"/>
      <c r="C122" s="1"/>
      <c r="D122" s="1"/>
      <c r="E122" s="1"/>
      <c r="F122" s="35"/>
      <c r="G122" s="179" t="s">
        <v>365</v>
      </c>
      <c r="H122" s="76">
        <f>M25</f>
        <v>300</v>
      </c>
      <c r="I122" s="76" t="s">
        <v>366</v>
      </c>
      <c r="J122" s="149">
        <f>H125*1000/H122</f>
        <v>15</v>
      </c>
      <c r="K122" s="178" t="s">
        <v>23</v>
      </c>
      <c r="L122" s="35"/>
      <c r="M122" s="35"/>
      <c r="N122" s="35"/>
      <c r="O122" s="1"/>
      <c r="P122" s="326"/>
      <c r="Q122" s="372">
        <v>14</v>
      </c>
      <c r="R122" s="372">
        <f t="shared" si="3"/>
        <v>1.4000000000000001</v>
      </c>
      <c r="S122" s="326"/>
      <c r="T122" s="372">
        <f t="shared" si="4"/>
        <v>2.5200000000000005</v>
      </c>
      <c r="U122" s="372">
        <f t="shared" si="5"/>
        <v>1.0999999999999999</v>
      </c>
      <c r="V122" s="393">
        <f t="shared" si="6"/>
        <v>0.62482040229885039</v>
      </c>
      <c r="W122" s="393">
        <f t="shared" si="7"/>
        <v>2.8558003405704553</v>
      </c>
      <c r="X122" s="326"/>
      <c r="Y122" s="372">
        <f t="shared" si="8"/>
        <v>0.3600000000000001</v>
      </c>
      <c r="Z122" s="372">
        <f t="shared" si="9"/>
        <v>-9.9999999999999978E-2</v>
      </c>
      <c r="AA122" s="393">
        <f t="shared" si="10"/>
        <v>7.1857040229885025E-2</v>
      </c>
      <c r="AB122" s="393">
        <f t="shared" si="11"/>
        <v>0.32203065134099618</v>
      </c>
      <c r="AC122" s="326"/>
      <c r="AD122" s="326"/>
      <c r="AE122" s="393">
        <f t="shared" si="12"/>
        <v>36.000000000000007</v>
      </c>
      <c r="AF122" s="393">
        <f t="shared" si="12"/>
        <v>-9.9999999999999982</v>
      </c>
      <c r="AG122" s="393">
        <f t="shared" si="13"/>
        <v>3.1844416647105409</v>
      </c>
      <c r="AH122" s="393">
        <f t="shared" si="14"/>
        <v>2.5164016091216368</v>
      </c>
      <c r="AI122" s="393"/>
      <c r="AJ122" s="393"/>
      <c r="AK122" s="393"/>
      <c r="AL122" s="393"/>
      <c r="AM122" s="393"/>
      <c r="AN122" s="394"/>
      <c r="AO122" s="394"/>
      <c r="AP122" s="394"/>
      <c r="AQ122" s="394"/>
      <c r="AR122" s="394"/>
      <c r="AS122" s="394"/>
      <c r="AT122" s="394"/>
      <c r="AU122" s="394"/>
      <c r="AV122" s="394"/>
      <c r="AW122" s="394"/>
      <c r="AX122" s="389"/>
      <c r="AY122" s="389"/>
      <c r="BF122" s="15"/>
      <c r="BG122" s="15"/>
      <c r="BH122" s="15"/>
      <c r="BI122" s="16"/>
      <c r="BJ122" s="16"/>
      <c r="BK122" s="16"/>
      <c r="BL122" s="16"/>
    </row>
    <row r="123" spans="1:64" ht="15" customHeight="1" x14ac:dyDescent="0.25">
      <c r="A123" s="1"/>
      <c r="B123" s="1"/>
      <c r="C123" s="1"/>
      <c r="D123" s="1"/>
      <c r="E123" s="1"/>
      <c r="F123" s="400" t="s">
        <v>367</v>
      </c>
      <c r="G123" s="179" t="s">
        <v>368</v>
      </c>
      <c r="H123" s="76">
        <f>M26</f>
        <v>250</v>
      </c>
      <c r="I123" s="76" t="s">
        <v>366</v>
      </c>
      <c r="J123" s="149">
        <f>H125*1000/H123</f>
        <v>18</v>
      </c>
      <c r="K123" s="178" t="s">
        <v>23</v>
      </c>
      <c r="L123" s="178"/>
      <c r="M123" s="178"/>
      <c r="N123" s="401"/>
      <c r="O123" s="300"/>
      <c r="P123" s="326"/>
      <c r="Q123" s="372">
        <v>15</v>
      </c>
      <c r="R123" s="372">
        <f t="shared" si="3"/>
        <v>1.5</v>
      </c>
      <c r="S123" s="326"/>
      <c r="T123" s="372">
        <f t="shared" si="4"/>
        <v>2.625</v>
      </c>
      <c r="U123" s="372">
        <f t="shared" si="5"/>
        <v>1</v>
      </c>
      <c r="V123" s="393">
        <f t="shared" si="6"/>
        <v>0.65497972042624497</v>
      </c>
      <c r="W123" s="393">
        <f t="shared" si="7"/>
        <v>2.9951630569745991</v>
      </c>
      <c r="X123" s="326"/>
      <c r="Y123" s="372">
        <f t="shared" si="8"/>
        <v>0.35000000000000009</v>
      </c>
      <c r="Z123" s="372">
        <f t="shared" si="9"/>
        <v>-9.9999999999999978E-2</v>
      </c>
      <c r="AA123" s="393">
        <f t="shared" si="10"/>
        <v>7.3580180395913145E-2</v>
      </c>
      <c r="AB123" s="393">
        <f t="shared" si="11"/>
        <v>0.33145162243980897</v>
      </c>
      <c r="AC123" s="326"/>
      <c r="AD123" s="326"/>
      <c r="AE123" s="393">
        <f t="shared" si="12"/>
        <v>35.000000000000007</v>
      </c>
      <c r="AF123" s="393">
        <f t="shared" si="12"/>
        <v>-9.9999999999999982</v>
      </c>
      <c r="AG123" s="393">
        <f t="shared" si="13"/>
        <v>3.2608049454869463</v>
      </c>
      <c r="AH123" s="393">
        <f t="shared" si="14"/>
        <v>2.5900186599639117</v>
      </c>
      <c r="AI123" s="393"/>
      <c r="AJ123" s="393"/>
      <c r="AK123" s="393"/>
      <c r="AL123" s="393"/>
      <c r="AM123" s="393"/>
      <c r="AN123" s="394"/>
      <c r="AO123" s="394"/>
      <c r="AP123" s="394"/>
      <c r="AQ123" s="394"/>
      <c r="AR123" s="394"/>
      <c r="AS123" s="394"/>
      <c r="AT123" s="394"/>
      <c r="AU123" s="394"/>
      <c r="AV123" s="394"/>
      <c r="AW123" s="394"/>
      <c r="AX123" s="389"/>
      <c r="AY123" s="389"/>
      <c r="BF123" s="15"/>
      <c r="BG123" s="15"/>
      <c r="BH123" s="15"/>
      <c r="BI123" s="16"/>
      <c r="BJ123" s="16"/>
      <c r="BK123" s="16"/>
      <c r="BL123" s="16"/>
    </row>
    <row r="124" spans="1:64" ht="15" customHeight="1" x14ac:dyDescent="0.25">
      <c r="A124" s="1"/>
      <c r="B124" s="1"/>
      <c r="C124" s="1"/>
      <c r="D124" s="1"/>
      <c r="E124" s="1"/>
      <c r="F124" s="400"/>
      <c r="G124" s="179" t="s">
        <v>368</v>
      </c>
      <c r="H124" s="76">
        <f>M27</f>
        <v>200</v>
      </c>
      <c r="I124" s="76" t="s">
        <v>366</v>
      </c>
      <c r="J124" s="149">
        <f>H125*1000/H124</f>
        <v>22.5</v>
      </c>
      <c r="K124" s="178" t="s">
        <v>23</v>
      </c>
      <c r="L124" s="35"/>
      <c r="M124" s="35"/>
      <c r="N124" s="401"/>
      <c r="O124" s="300"/>
      <c r="P124" s="326"/>
      <c r="Q124" s="372">
        <v>16</v>
      </c>
      <c r="R124" s="372">
        <f t="shared" si="3"/>
        <v>1.6</v>
      </c>
      <c r="S124" s="326"/>
      <c r="T124" s="372">
        <f t="shared" si="4"/>
        <v>2.7199999999999998</v>
      </c>
      <c r="U124" s="372">
        <f t="shared" si="5"/>
        <v>0.89999999999999991</v>
      </c>
      <c r="V124" s="393">
        <f t="shared" si="6"/>
        <v>0.68255108556832678</v>
      </c>
      <c r="W124" s="393">
        <f t="shared" si="7"/>
        <v>3.1226573955820447</v>
      </c>
      <c r="X124" s="326"/>
      <c r="Y124" s="372">
        <f t="shared" si="8"/>
        <v>0.34000000000000008</v>
      </c>
      <c r="Z124" s="372">
        <f t="shared" si="9"/>
        <v>-9.9999999999999978E-2</v>
      </c>
      <c r="AA124" s="393">
        <f t="shared" si="10"/>
        <v>7.4989024584929731E-2</v>
      </c>
      <c r="AB124" s="393">
        <f t="shared" si="11"/>
        <v>0.33932051463979945</v>
      </c>
      <c r="AC124" s="326"/>
      <c r="AD124" s="326"/>
      <c r="AE124" s="393">
        <f t="shared" si="12"/>
        <v>34.000000000000007</v>
      </c>
      <c r="AF124" s="393">
        <f t="shared" si="12"/>
        <v>-9.9999999999999982</v>
      </c>
      <c r="AG124" s="393">
        <f t="shared" si="13"/>
        <v>3.3232397760927843</v>
      </c>
      <c r="AH124" s="393">
        <f t="shared" si="14"/>
        <v>2.6515075055492758</v>
      </c>
      <c r="AI124" s="393"/>
      <c r="AJ124" s="393"/>
      <c r="AK124" s="393"/>
      <c r="AL124" s="393"/>
      <c r="AM124" s="393"/>
      <c r="AN124" s="394"/>
      <c r="AO124" s="394"/>
      <c r="AP124" s="394"/>
      <c r="AQ124" s="394"/>
      <c r="AR124" s="394"/>
      <c r="AS124" s="394"/>
      <c r="AT124" s="394"/>
      <c r="AU124" s="394"/>
      <c r="AV124" s="394"/>
      <c r="AW124" s="394"/>
      <c r="AX124" s="389"/>
      <c r="AY124" s="389"/>
      <c r="BF124" s="15"/>
      <c r="BG124" s="15"/>
      <c r="BH124" s="15"/>
      <c r="BI124" s="16"/>
      <c r="BJ124" s="16"/>
      <c r="BK124" s="16"/>
      <c r="BL124" s="16"/>
    </row>
    <row r="125" spans="1:64" ht="15" customHeight="1" x14ac:dyDescent="0.5">
      <c r="A125" s="1"/>
      <c r="B125" s="1"/>
      <c r="C125" s="1"/>
      <c r="D125" s="1"/>
      <c r="E125" s="1"/>
      <c r="F125" s="402" t="s">
        <v>369</v>
      </c>
      <c r="G125" s="178"/>
      <c r="H125" s="149">
        <f>H10</f>
        <v>4.5</v>
      </c>
      <c r="I125" s="75" t="s">
        <v>60</v>
      </c>
      <c r="J125" s="178"/>
      <c r="K125" s="401"/>
      <c r="L125" s="401"/>
      <c r="M125" s="401"/>
      <c r="N125" s="178"/>
      <c r="O125" s="1"/>
      <c r="P125" s="326"/>
      <c r="Q125" s="372">
        <v>17</v>
      </c>
      <c r="R125" s="372">
        <f t="shared" si="3"/>
        <v>1.7000000000000002</v>
      </c>
      <c r="S125" s="326"/>
      <c r="T125" s="372">
        <f t="shared" si="4"/>
        <v>2.8049999999999997</v>
      </c>
      <c r="U125" s="372">
        <f t="shared" si="5"/>
        <v>0.79999999999999982</v>
      </c>
      <c r="V125" s="393">
        <f t="shared" si="6"/>
        <v>0.70744918881704977</v>
      </c>
      <c r="W125" s="393">
        <f t="shared" si="7"/>
        <v>3.2378620778345404</v>
      </c>
      <c r="X125" s="326"/>
      <c r="Y125" s="372">
        <f t="shared" si="8"/>
        <v>0.33000000000000007</v>
      </c>
      <c r="Z125" s="372">
        <f t="shared" si="9"/>
        <v>-9.9999999999999978E-2</v>
      </c>
      <c r="AA125" s="393">
        <f t="shared" si="10"/>
        <v>7.6092552681992331E-2</v>
      </c>
      <c r="AB125" s="393">
        <f t="shared" si="11"/>
        <v>0.3456816730523628</v>
      </c>
      <c r="AC125" s="326"/>
      <c r="AD125" s="326"/>
      <c r="AE125" s="393">
        <f t="shared" si="12"/>
        <v>33.000000000000007</v>
      </c>
      <c r="AF125" s="393">
        <f t="shared" si="12"/>
        <v>-9.9999999999999982</v>
      </c>
      <c r="AG125" s="393">
        <f t="shared" si="13"/>
        <v>3.3721441122472169</v>
      </c>
      <c r="AH125" s="393">
        <f t="shared" si="14"/>
        <v>2.701214666027929</v>
      </c>
      <c r="AI125" s="393"/>
      <c r="AJ125" s="393"/>
      <c r="AK125" s="393"/>
      <c r="AL125" s="393"/>
      <c r="AM125" s="393"/>
      <c r="AN125" s="394"/>
      <c r="AO125" s="394"/>
      <c r="AP125" s="394"/>
      <c r="AQ125" s="394"/>
      <c r="AR125" s="394"/>
      <c r="AS125" s="394"/>
      <c r="AT125" s="394"/>
      <c r="AU125" s="394"/>
      <c r="AV125" s="394"/>
      <c r="AW125" s="394"/>
      <c r="AX125" s="389"/>
      <c r="AY125" s="389"/>
      <c r="BF125" s="15"/>
      <c r="BG125" s="15"/>
      <c r="BH125" s="15"/>
      <c r="BI125" s="16"/>
      <c r="BJ125" s="16"/>
      <c r="BK125" s="16"/>
      <c r="BL125" s="16"/>
    </row>
    <row r="126" spans="1:64" ht="14.25" customHeight="1" x14ac:dyDescent="0.25">
      <c r="A126" s="1"/>
      <c r="B126" s="1"/>
      <c r="C126" s="1"/>
      <c r="D126" s="1"/>
      <c r="E126" s="1"/>
      <c r="F126" s="400" t="s">
        <v>370</v>
      </c>
      <c r="G126" s="178"/>
      <c r="H126" s="178"/>
      <c r="I126" s="35"/>
      <c r="J126" s="35"/>
      <c r="K126" s="35"/>
      <c r="L126" s="35"/>
      <c r="M126" s="35"/>
      <c r="N126" s="178"/>
      <c r="O126" s="1"/>
      <c r="P126" s="326"/>
      <c r="Q126" s="372">
        <v>18</v>
      </c>
      <c r="R126" s="372">
        <f t="shared" si="3"/>
        <v>1.8</v>
      </c>
      <c r="S126" s="326"/>
      <c r="T126" s="372">
        <f t="shared" si="4"/>
        <v>2.88</v>
      </c>
      <c r="U126" s="372">
        <f t="shared" si="5"/>
        <v>0.7</v>
      </c>
      <c r="V126" s="393">
        <f t="shared" si="6"/>
        <v>0.72959770114942513</v>
      </c>
      <c r="W126" s="393">
        <f t="shared" si="7"/>
        <v>3.3404001702852275</v>
      </c>
      <c r="X126" s="326"/>
      <c r="Y126" s="372">
        <f t="shared" si="8"/>
        <v>0.32000000000000006</v>
      </c>
      <c r="Z126" s="372">
        <f t="shared" si="9"/>
        <v>-9.9999999999999978E-2</v>
      </c>
      <c r="AA126" s="393">
        <f t="shared" si="10"/>
        <v>7.6899744572158341E-2</v>
      </c>
      <c r="AB126" s="393">
        <f t="shared" si="11"/>
        <v>0.35057944278889364</v>
      </c>
      <c r="AC126" s="326"/>
      <c r="AD126" s="326"/>
      <c r="AE126" s="393">
        <f t="shared" si="12"/>
        <v>32.000000000000007</v>
      </c>
      <c r="AF126" s="393">
        <f t="shared" si="12"/>
        <v>-9.9999999999999982</v>
      </c>
      <c r="AG126" s="393">
        <f t="shared" si="13"/>
        <v>3.4079159096693998</v>
      </c>
      <c r="AH126" s="393">
        <f t="shared" si="14"/>
        <v>2.7394866615500657</v>
      </c>
      <c r="AI126" s="393"/>
      <c r="AJ126" s="393"/>
      <c r="AK126" s="393"/>
      <c r="AL126" s="393"/>
      <c r="AM126" s="393"/>
      <c r="AN126" s="394"/>
      <c r="AO126" s="394"/>
      <c r="AP126" s="394"/>
      <c r="AQ126" s="394"/>
      <c r="AR126" s="394"/>
      <c r="AS126" s="394"/>
      <c r="AT126" s="394"/>
      <c r="AU126" s="394"/>
      <c r="AV126" s="394"/>
      <c r="AW126" s="394"/>
      <c r="AX126" s="389"/>
      <c r="AY126" s="389"/>
      <c r="BF126" s="15"/>
      <c r="BG126" s="15"/>
      <c r="BH126" s="15"/>
      <c r="BI126" s="16"/>
      <c r="BJ126" s="16"/>
      <c r="BK126" s="16"/>
      <c r="BL126" s="16"/>
    </row>
    <row r="127" spans="1:64" ht="14.25" customHeight="1" x14ac:dyDescent="0.25">
      <c r="A127" s="1"/>
      <c r="B127" s="1"/>
      <c r="C127" s="1"/>
      <c r="D127" s="1"/>
      <c r="E127" s="1"/>
      <c r="F127" s="178" t="s">
        <v>298</v>
      </c>
      <c r="G127" s="403">
        <f>M11</f>
        <v>650</v>
      </c>
      <c r="H127" s="75" t="s">
        <v>26</v>
      </c>
      <c r="I127" s="236" t="str">
        <f>"Valori di kdef secondo la tabella 4.4.V di "&amp;$G$3&amp;":"</f>
        <v>Valori di kdef secondo la tabella 4.4.V di NTC 17/01/2018:</v>
      </c>
      <c r="J127" s="42"/>
      <c r="K127" s="42"/>
      <c r="L127" s="42"/>
      <c r="M127" s="130"/>
      <c r="N127" s="35"/>
      <c r="O127" s="1"/>
      <c r="P127" s="326"/>
      <c r="Q127" s="372">
        <v>19</v>
      </c>
      <c r="R127" s="372">
        <f t="shared" si="3"/>
        <v>1.9000000000000001</v>
      </c>
      <c r="S127" s="326"/>
      <c r="T127" s="372">
        <f t="shared" si="4"/>
        <v>2.9449999999999998</v>
      </c>
      <c r="U127" s="372">
        <f t="shared" si="5"/>
        <v>0.59999999999999987</v>
      </c>
      <c r="V127" s="393">
        <f t="shared" si="6"/>
        <v>0.74892927342752225</v>
      </c>
      <c r="W127" s="393">
        <f t="shared" si="7"/>
        <v>3.4299390845986473</v>
      </c>
      <c r="X127" s="326"/>
      <c r="Y127" s="372">
        <f t="shared" si="8"/>
        <v>0.31000000000000005</v>
      </c>
      <c r="Z127" s="372">
        <f t="shared" si="9"/>
        <v>-9.9999999999999978E-2</v>
      </c>
      <c r="AA127" s="393">
        <f t="shared" si="10"/>
        <v>7.7419580140485306E-2</v>
      </c>
      <c r="AB127" s="393">
        <f t="shared" si="11"/>
        <v>0.35405816896078707</v>
      </c>
      <c r="AC127" s="326"/>
      <c r="AD127" s="326"/>
      <c r="AE127" s="393">
        <f t="shared" si="12"/>
        <v>31.000000000000007</v>
      </c>
      <c r="AF127" s="393">
        <f t="shared" si="12"/>
        <v>-9.9999999999999982</v>
      </c>
      <c r="AG127" s="393">
        <f t="shared" si="13"/>
        <v>3.4309531240784952</v>
      </c>
      <c r="AH127" s="393">
        <f t="shared" si="14"/>
        <v>2.7666700122658856</v>
      </c>
      <c r="AI127" s="393"/>
      <c r="AJ127" s="393"/>
      <c r="AK127" s="393"/>
      <c r="AL127" s="393"/>
      <c r="AM127" s="393"/>
      <c r="AN127" s="394"/>
      <c r="AO127" s="394"/>
      <c r="AP127" s="394"/>
      <c r="AQ127" s="394"/>
      <c r="AR127" s="394"/>
      <c r="AS127" s="394"/>
      <c r="AT127" s="394"/>
      <c r="AU127" s="394"/>
      <c r="AV127" s="394"/>
      <c r="AW127" s="394"/>
      <c r="AX127" s="389"/>
      <c r="AY127" s="389"/>
      <c r="BF127" s="15"/>
      <c r="BG127" s="15"/>
      <c r="BH127" s="15"/>
      <c r="BI127" s="16"/>
      <c r="BJ127" s="16"/>
      <c r="BK127" s="16"/>
      <c r="BL127" s="16"/>
    </row>
    <row r="128" spans="1:64" ht="11.25" customHeight="1" x14ac:dyDescent="0.25">
      <c r="A128" s="1"/>
      <c r="B128" s="1"/>
      <c r="C128" s="1"/>
      <c r="D128" s="1"/>
      <c r="E128" s="1"/>
      <c r="F128" s="178" t="s">
        <v>299</v>
      </c>
      <c r="G128" s="403">
        <f>$M$8</f>
        <v>11500</v>
      </c>
      <c r="H128" s="75" t="s">
        <v>26</v>
      </c>
      <c r="I128" s="404" t="s">
        <v>371</v>
      </c>
      <c r="J128" s="171"/>
      <c r="K128" s="129"/>
      <c r="L128" s="171"/>
      <c r="M128" s="405">
        <f>H22</f>
        <v>1</v>
      </c>
      <c r="N128" s="35"/>
      <c r="O128" s="1"/>
      <c r="P128" s="326"/>
      <c r="Q128" s="372">
        <v>20</v>
      </c>
      <c r="R128" s="372">
        <f t="shared" si="3"/>
        <v>2</v>
      </c>
      <c r="S128" s="326"/>
      <c r="T128" s="372">
        <f t="shared" si="4"/>
        <v>3</v>
      </c>
      <c r="U128" s="372">
        <f t="shared" si="5"/>
        <v>0.5</v>
      </c>
      <c r="V128" s="393">
        <f t="shared" si="6"/>
        <v>0.76538553639846718</v>
      </c>
      <c r="W128" s="393">
        <f t="shared" si="7"/>
        <v>3.5061905775507305</v>
      </c>
      <c r="X128" s="326"/>
      <c r="Y128" s="372">
        <f t="shared" si="8"/>
        <v>0.30000000000000004</v>
      </c>
      <c r="Z128" s="372">
        <f t="shared" si="9"/>
        <v>-9.9999999999999978E-2</v>
      </c>
      <c r="AA128" s="393">
        <f t="shared" si="10"/>
        <v>7.7661039272030635E-2</v>
      </c>
      <c r="AB128" s="393">
        <f t="shared" si="11"/>
        <v>0.35616219667943799</v>
      </c>
      <c r="AC128" s="326"/>
      <c r="AD128" s="326"/>
      <c r="AE128" s="393">
        <f t="shared" si="12"/>
        <v>30.000000000000004</v>
      </c>
      <c r="AF128" s="393">
        <f t="shared" si="12"/>
        <v>-9.9999999999999982</v>
      </c>
      <c r="AG128" s="393">
        <f t="shared" si="13"/>
        <v>3.44165371119366</v>
      </c>
      <c r="AH128" s="393">
        <f t="shared" si="14"/>
        <v>2.7831112383255854</v>
      </c>
      <c r="AI128" s="393"/>
      <c r="AJ128" s="393"/>
      <c r="AK128" s="393"/>
      <c r="AL128" s="393"/>
      <c r="AM128" s="393"/>
      <c r="AN128" s="394"/>
      <c r="AO128" s="394"/>
      <c r="AP128" s="394"/>
      <c r="AQ128" s="394"/>
      <c r="AR128" s="394"/>
      <c r="AS128" s="394"/>
      <c r="AT128" s="394"/>
      <c r="AU128" s="394"/>
      <c r="AV128" s="394"/>
      <c r="AW128" s="394"/>
      <c r="AX128" s="389"/>
      <c r="AY128" s="389"/>
      <c r="BF128" s="15"/>
      <c r="BG128" s="15"/>
      <c r="BH128" s="15"/>
      <c r="BI128" s="16"/>
      <c r="BJ128" s="16"/>
      <c r="BK128" s="16"/>
      <c r="BL128" s="16"/>
    </row>
    <row r="129" spans="1:64" ht="11.25" customHeight="1" x14ac:dyDescent="0.25">
      <c r="A129" s="1"/>
      <c r="B129" s="1"/>
      <c r="C129" s="1"/>
      <c r="D129" s="1"/>
      <c r="E129" s="1"/>
      <c r="F129" s="178" t="s">
        <v>372</v>
      </c>
      <c r="G129" s="149">
        <f>M21</f>
        <v>9.6000000000000002E-2</v>
      </c>
      <c r="H129" s="178" t="s">
        <v>69</v>
      </c>
      <c r="I129" s="74" t="s">
        <v>373</v>
      </c>
      <c r="J129" s="75"/>
      <c r="K129" s="75"/>
      <c r="L129" s="76" t="s">
        <v>374</v>
      </c>
      <c r="M129" s="406">
        <f>HLOOKUP($M$128,$S$47:$U$49,IF(OR(LEFT(H5,3)="OSB"),3,2),FALSE)</f>
        <v>0.6</v>
      </c>
      <c r="N129" s="35"/>
      <c r="O129" s="1"/>
      <c r="P129" s="326"/>
      <c r="Q129" s="372">
        <v>21</v>
      </c>
      <c r="R129" s="372">
        <f t="shared" si="3"/>
        <v>2.1</v>
      </c>
      <c r="S129" s="326"/>
      <c r="T129" s="372">
        <f t="shared" si="4"/>
        <v>3.0449999999999999</v>
      </c>
      <c r="U129" s="372">
        <f t="shared" si="5"/>
        <v>0.39999999999999991</v>
      </c>
      <c r="V129" s="393">
        <f t="shared" si="6"/>
        <v>0.7789171006944442</v>
      </c>
      <c r="W129" s="393">
        <f t="shared" si="7"/>
        <v>3.5689107510288061</v>
      </c>
      <c r="X129" s="326"/>
      <c r="Y129" s="372">
        <f t="shared" si="8"/>
        <v>0.29000000000000004</v>
      </c>
      <c r="Z129" s="372">
        <f t="shared" si="9"/>
        <v>-9.9999999999999978E-2</v>
      </c>
      <c r="AA129" s="393">
        <f t="shared" si="10"/>
        <v>7.7633101851851849E-2</v>
      </c>
      <c r="AB129" s="393">
        <f t="shared" si="11"/>
        <v>0.35693587105624142</v>
      </c>
      <c r="AC129" s="326"/>
      <c r="AD129" s="326"/>
      <c r="AE129" s="393">
        <f t="shared" si="12"/>
        <v>29.000000000000004</v>
      </c>
      <c r="AF129" s="393">
        <f t="shared" si="12"/>
        <v>-9.9999999999999982</v>
      </c>
      <c r="AG129" s="393">
        <f t="shared" si="13"/>
        <v>3.4404156267340547</v>
      </c>
      <c r="AH129" s="393">
        <f t="shared" si="14"/>
        <v>2.7891568598793635</v>
      </c>
      <c r="AI129" s="393"/>
      <c r="AJ129" s="393"/>
      <c r="AK129" s="393"/>
      <c r="AL129" s="393"/>
      <c r="AM129" s="393"/>
      <c r="AN129" s="394"/>
      <c r="AO129" s="394"/>
      <c r="AP129" s="394"/>
      <c r="AQ129" s="394"/>
      <c r="AR129" s="394"/>
      <c r="AS129" s="394"/>
      <c r="AT129" s="394"/>
      <c r="AU129" s="394"/>
      <c r="AV129" s="394"/>
      <c r="AW129" s="394"/>
      <c r="AX129" s="389"/>
      <c r="AY129" s="389"/>
      <c r="BF129" s="15"/>
      <c r="BG129" s="15"/>
      <c r="BH129" s="15"/>
      <c r="BI129" s="16"/>
      <c r="BJ129" s="16"/>
      <c r="BK129" s="16"/>
      <c r="BL129" s="16"/>
    </row>
    <row r="130" spans="1:64" ht="15" customHeight="1" x14ac:dyDescent="0.25">
      <c r="A130" s="1"/>
      <c r="B130" s="1"/>
      <c r="C130" s="1"/>
      <c r="D130" s="1"/>
      <c r="E130" s="1"/>
      <c r="F130" s="178" t="s">
        <v>375</v>
      </c>
      <c r="G130" s="149">
        <f>M22</f>
        <v>0</v>
      </c>
      <c r="H130" s="178" t="s">
        <v>69</v>
      </c>
      <c r="I130" s="349"/>
      <c r="J130" s="186"/>
      <c r="K130" s="186"/>
      <c r="L130" s="407" t="s">
        <v>376</v>
      </c>
      <c r="M130" s="408">
        <f>INDEX($U$50:$U$63,$E$22)</f>
        <v>0.2</v>
      </c>
      <c r="N130" s="35"/>
      <c r="O130" s="1"/>
      <c r="P130" s="326"/>
      <c r="Q130" s="372">
        <v>22</v>
      </c>
      <c r="R130" s="372">
        <f t="shared" si="3"/>
        <v>2.2000000000000002</v>
      </c>
      <c r="S130" s="326"/>
      <c r="T130" s="372">
        <f t="shared" si="4"/>
        <v>3.0799999999999996</v>
      </c>
      <c r="U130" s="372">
        <f t="shared" si="5"/>
        <v>0.29999999999999982</v>
      </c>
      <c r="V130" s="393">
        <f t="shared" si="6"/>
        <v>0.78948355683269444</v>
      </c>
      <c r="W130" s="393">
        <f t="shared" si="7"/>
        <v>3.6179000520315974</v>
      </c>
      <c r="X130" s="326"/>
      <c r="Y130" s="372">
        <f t="shared" si="8"/>
        <v>0.28000000000000003</v>
      </c>
      <c r="Z130" s="372">
        <f t="shared" si="9"/>
        <v>-9.9999999999999978E-2</v>
      </c>
      <c r="AA130" s="393">
        <f t="shared" si="10"/>
        <v>7.7344747765006383E-2</v>
      </c>
      <c r="AB130" s="393">
        <f t="shared" si="11"/>
        <v>0.35642353720259212</v>
      </c>
      <c r="AC130" s="326"/>
      <c r="AD130" s="326"/>
      <c r="AE130" s="393">
        <f t="shared" si="12"/>
        <v>28.000000000000004</v>
      </c>
      <c r="AF130" s="393">
        <f t="shared" si="12"/>
        <v>-9.9999999999999982</v>
      </c>
      <c r="AG130" s="393">
        <f t="shared" si="13"/>
        <v>3.427636826418837</v>
      </c>
      <c r="AH130" s="393">
        <f t="shared" si="14"/>
        <v>2.785153397077416</v>
      </c>
      <c r="AI130" s="393"/>
      <c r="AJ130" s="393"/>
      <c r="AK130" s="393"/>
      <c r="AL130" s="393"/>
      <c r="AM130" s="393"/>
      <c r="AN130" s="394"/>
      <c r="AO130" s="394"/>
      <c r="AP130" s="394"/>
      <c r="AQ130" s="394"/>
      <c r="AR130" s="394"/>
      <c r="AS130" s="394"/>
      <c r="AT130" s="394"/>
      <c r="AU130" s="394"/>
      <c r="AV130" s="394"/>
      <c r="AW130" s="394"/>
      <c r="AX130" s="389"/>
      <c r="AY130" s="389"/>
      <c r="BF130" s="15"/>
      <c r="BG130" s="15"/>
      <c r="BH130" s="15"/>
      <c r="BI130" s="16"/>
      <c r="BJ130" s="16"/>
      <c r="BK130" s="16"/>
      <c r="BL130" s="16"/>
    </row>
    <row r="131" spans="1:64" ht="15" customHeight="1" x14ac:dyDescent="0.25">
      <c r="A131" s="1"/>
      <c r="B131" s="1"/>
      <c r="C131" s="1"/>
      <c r="D131" s="1"/>
      <c r="E131" s="1"/>
      <c r="F131" s="178" t="s">
        <v>377</v>
      </c>
      <c r="G131" s="149">
        <f>M23</f>
        <v>0</v>
      </c>
      <c r="H131" s="178" t="s">
        <v>69</v>
      </c>
      <c r="I131" s="75"/>
      <c r="J131" s="75"/>
      <c r="K131" s="75"/>
      <c r="L131" s="375"/>
      <c r="M131" s="285"/>
      <c r="N131" s="35"/>
      <c r="O131" s="1"/>
      <c r="P131" s="326"/>
      <c r="Q131" s="372">
        <v>23</v>
      </c>
      <c r="R131" s="372">
        <f t="shared" si="3"/>
        <v>2.3000000000000003</v>
      </c>
      <c r="S131" s="326"/>
      <c r="T131" s="372">
        <f t="shared" si="4"/>
        <v>3.1050000000000004</v>
      </c>
      <c r="U131" s="372">
        <f t="shared" si="5"/>
        <v>0.19999999999999973</v>
      </c>
      <c r="V131" s="393">
        <f t="shared" si="6"/>
        <v>0.79705347521551717</v>
      </c>
      <c r="W131" s="393">
        <f t="shared" si="7"/>
        <v>3.6530032726692214</v>
      </c>
      <c r="X131" s="326"/>
      <c r="Y131" s="372">
        <f t="shared" si="8"/>
        <v>0.27</v>
      </c>
      <c r="Z131" s="372">
        <f t="shared" si="9"/>
        <v>-9.9999999999999978E-2</v>
      </c>
      <c r="AA131" s="393">
        <f t="shared" si="10"/>
        <v>7.6804956896551688E-2</v>
      </c>
      <c r="AB131" s="393">
        <f t="shared" si="11"/>
        <v>0.35466954022988501</v>
      </c>
      <c r="AC131" s="326"/>
      <c r="AD131" s="326"/>
      <c r="AE131" s="393">
        <f t="shared" si="12"/>
        <v>27</v>
      </c>
      <c r="AF131" s="393">
        <f t="shared" si="12"/>
        <v>-9.9999999999999982</v>
      </c>
      <c r="AG131" s="393">
        <f t="shared" si="13"/>
        <v>3.4037152659671652</v>
      </c>
      <c r="AH131" s="393">
        <f t="shared" si="14"/>
        <v>2.7714473700699407</v>
      </c>
      <c r="AI131" s="393"/>
      <c r="AJ131" s="393"/>
      <c r="AK131" s="393"/>
      <c r="AL131" s="393"/>
      <c r="AM131" s="393"/>
      <c r="AN131" s="394"/>
      <c r="AO131" s="394"/>
      <c r="AP131" s="394"/>
      <c r="AQ131" s="394"/>
      <c r="AR131" s="394"/>
      <c r="AS131" s="394"/>
      <c r="AT131" s="394"/>
      <c r="AU131" s="394"/>
      <c r="AV131" s="394"/>
      <c r="AW131" s="394"/>
      <c r="AX131" s="389"/>
      <c r="AY131" s="389"/>
      <c r="BF131" s="15"/>
      <c r="BG131" s="15"/>
      <c r="BH131" s="15"/>
      <c r="BI131" s="16"/>
      <c r="BJ131" s="16"/>
      <c r="BK131" s="16"/>
      <c r="BL131" s="16"/>
    </row>
    <row r="132" spans="1:64" ht="15" customHeight="1" x14ac:dyDescent="0.25">
      <c r="A132" s="1"/>
      <c r="B132" s="1"/>
      <c r="C132" s="1"/>
      <c r="D132" s="1"/>
      <c r="E132" s="1"/>
      <c r="F132" s="178" t="s">
        <v>378</v>
      </c>
      <c r="G132" s="149">
        <f>H19</f>
        <v>0</v>
      </c>
      <c r="H132" s="178" t="s">
        <v>69</v>
      </c>
      <c r="I132" s="35"/>
      <c r="J132" s="35"/>
      <c r="K132" s="35"/>
      <c r="L132" s="35"/>
      <c r="M132" s="35"/>
      <c r="N132" s="35"/>
      <c r="O132" s="1"/>
      <c r="P132" s="326"/>
      <c r="Q132" s="372">
        <v>24</v>
      </c>
      <c r="R132" s="372">
        <f t="shared" si="3"/>
        <v>2.4000000000000004</v>
      </c>
      <c r="S132" s="326"/>
      <c r="T132" s="372">
        <f t="shared" si="4"/>
        <v>3.12</v>
      </c>
      <c r="U132" s="372">
        <f t="shared" si="5"/>
        <v>9.9999999999999645E-2</v>
      </c>
      <c r="V132" s="393">
        <f t="shared" si="6"/>
        <v>0.80160440613026795</v>
      </c>
      <c r="W132" s="393">
        <f t="shared" si="7"/>
        <v>3.6741095501631897</v>
      </c>
      <c r="X132" s="326"/>
      <c r="Y132" s="372">
        <f t="shared" si="8"/>
        <v>0.26000000000000023</v>
      </c>
      <c r="Z132" s="372">
        <f t="shared" si="9"/>
        <v>-9.9999999999999978E-2</v>
      </c>
      <c r="AA132" s="393">
        <f t="shared" si="10"/>
        <v>7.602270913154531E-2</v>
      </c>
      <c r="AB132" s="393">
        <f t="shared" si="11"/>
        <v>0.35171822524951518</v>
      </c>
      <c r="AC132" s="326"/>
      <c r="AD132" s="326"/>
      <c r="AE132" s="393">
        <f t="shared" si="12"/>
        <v>26.000000000000021</v>
      </c>
      <c r="AF132" s="393">
        <f t="shared" si="12"/>
        <v>-9.9999999999999982</v>
      </c>
      <c r="AG132" s="393">
        <f t="shared" si="13"/>
        <v>3.3690489010982012</v>
      </c>
      <c r="AH132" s="393">
        <f t="shared" si="14"/>
        <v>2.7483852990071354</v>
      </c>
      <c r="AI132" s="393"/>
      <c r="AJ132" s="393"/>
      <c r="AK132" s="393"/>
      <c r="AL132" s="393"/>
      <c r="AM132" s="393"/>
      <c r="AN132" s="394"/>
      <c r="AO132" s="394"/>
      <c r="AP132" s="394"/>
      <c r="AQ132" s="394"/>
      <c r="AR132" s="394"/>
      <c r="AS132" s="394"/>
      <c r="AT132" s="394"/>
      <c r="AU132" s="394"/>
      <c r="AV132" s="394"/>
      <c r="AW132" s="394"/>
      <c r="AX132" s="389"/>
      <c r="AY132" s="389"/>
      <c r="BF132" s="15"/>
      <c r="BG132" s="15"/>
      <c r="BH132" s="15"/>
      <c r="BI132" s="16"/>
      <c r="BJ132" s="16"/>
      <c r="BK132" s="16"/>
      <c r="BL132" s="16"/>
    </row>
    <row r="133" spans="1:64" ht="15" customHeight="1" x14ac:dyDescent="0.25">
      <c r="A133" s="1"/>
      <c r="B133" s="1"/>
      <c r="C133" s="1"/>
      <c r="D133" s="1"/>
      <c r="E133" s="1"/>
      <c r="F133" s="178" t="s">
        <v>379</v>
      </c>
      <c r="G133" s="149">
        <f>H20</f>
        <v>0</v>
      </c>
      <c r="H133" s="178" t="s">
        <v>69</v>
      </c>
      <c r="I133" s="35"/>
      <c r="J133" s="35"/>
      <c r="K133" s="35"/>
      <c r="L133" s="35"/>
      <c r="M133" s="35"/>
      <c r="N133" s="35"/>
      <c r="O133" s="1"/>
      <c r="P133" s="326"/>
      <c r="Q133" s="372">
        <v>25</v>
      </c>
      <c r="R133" s="372">
        <f t="shared" si="3"/>
        <v>2.5</v>
      </c>
      <c r="S133" s="326"/>
      <c r="T133" s="372">
        <f t="shared" si="4"/>
        <v>3.125</v>
      </c>
      <c r="U133" s="372">
        <f t="shared" si="5"/>
        <v>0</v>
      </c>
      <c r="V133" s="393">
        <f t="shared" si="6"/>
        <v>0.80312287974936114</v>
      </c>
      <c r="W133" s="393">
        <f t="shared" si="7"/>
        <v>3.6811523668464119</v>
      </c>
      <c r="X133" s="326"/>
      <c r="Y133" s="372">
        <f t="shared" si="8"/>
        <v>0.25</v>
      </c>
      <c r="Z133" s="372">
        <f t="shared" si="9"/>
        <v>-9.9999999999999978E-2</v>
      </c>
      <c r="AA133" s="393">
        <f t="shared" si="10"/>
        <v>7.5006984355044673E-2</v>
      </c>
      <c r="AB133" s="393">
        <f t="shared" si="11"/>
        <v>0.34761393737287738</v>
      </c>
      <c r="AC133" s="326"/>
      <c r="AD133" s="326"/>
      <c r="AE133" s="393">
        <f t="shared" si="12"/>
        <v>25</v>
      </c>
      <c r="AF133" s="393">
        <f t="shared" si="12"/>
        <v>-9.9999999999999982</v>
      </c>
      <c r="AG133" s="393">
        <f t="shared" si="13"/>
        <v>3.3240356875311026</v>
      </c>
      <c r="AH133" s="393">
        <f t="shared" si="14"/>
        <v>2.7163137040391971</v>
      </c>
      <c r="AI133" s="393"/>
      <c r="AJ133" s="393"/>
      <c r="AK133" s="393"/>
      <c r="AL133" s="393"/>
      <c r="AM133" s="393"/>
      <c r="AN133" s="394"/>
      <c r="AO133" s="394"/>
      <c r="AP133" s="394"/>
      <c r="AQ133" s="394"/>
      <c r="AR133" s="394"/>
      <c r="AS133" s="394"/>
      <c r="AT133" s="394"/>
      <c r="AU133" s="394"/>
      <c r="AV133" s="394"/>
      <c r="AW133" s="394"/>
      <c r="AX133" s="389"/>
      <c r="AY133" s="389"/>
      <c r="BF133" s="15"/>
      <c r="BG133" s="15"/>
      <c r="BH133" s="15"/>
      <c r="BI133" s="16"/>
      <c r="BJ133" s="16"/>
      <c r="BK133" s="16"/>
      <c r="BL133" s="16"/>
    </row>
    <row r="134" spans="1:64" ht="15" customHeight="1" x14ac:dyDescent="0.25">
      <c r="A134" s="1"/>
      <c r="B134" s="1"/>
      <c r="C134" s="1"/>
      <c r="D134" s="1"/>
      <c r="E134" s="1"/>
      <c r="F134" s="178" t="s">
        <v>380</v>
      </c>
      <c r="G134" s="149">
        <f>H21</f>
        <v>0</v>
      </c>
      <c r="H134" s="178" t="s">
        <v>69</v>
      </c>
      <c r="I134" s="35"/>
      <c r="J134" s="35"/>
      <c r="K134" s="35"/>
      <c r="L134" s="35"/>
      <c r="M134" s="35"/>
      <c r="N134" s="35"/>
      <c r="O134" s="1"/>
      <c r="P134" s="326"/>
      <c r="Q134" s="372">
        <v>26</v>
      </c>
      <c r="R134" s="372">
        <f t="shared" si="3"/>
        <v>2.6</v>
      </c>
      <c r="S134" s="326"/>
      <c r="T134" s="372">
        <f t="shared" si="4"/>
        <v>3.1199999999999997</v>
      </c>
      <c r="U134" s="372">
        <f t="shared" si="5"/>
        <v>-0.10000000000000009</v>
      </c>
      <c r="V134" s="393">
        <f t="shared" si="6"/>
        <v>0.80160440613026795</v>
      </c>
      <c r="W134" s="393">
        <f t="shared" si="7"/>
        <v>3.6741095501631897</v>
      </c>
      <c r="X134" s="326"/>
      <c r="Y134" s="372">
        <f t="shared" si="8"/>
        <v>0.24000000000000021</v>
      </c>
      <c r="Z134" s="372">
        <f t="shared" si="9"/>
        <v>-9.9999999999999978E-2</v>
      </c>
      <c r="AA134" s="393">
        <f t="shared" si="10"/>
        <v>7.3766762452107268E-2</v>
      </c>
      <c r="AB134" s="393">
        <f t="shared" si="11"/>
        <v>0.3424010217113666</v>
      </c>
      <c r="AC134" s="326"/>
      <c r="AD134" s="326"/>
      <c r="AE134" s="393">
        <f t="shared" si="12"/>
        <v>24.000000000000021</v>
      </c>
      <c r="AF134" s="393">
        <f t="shared" si="12"/>
        <v>-9.9999999999999982</v>
      </c>
      <c r="AG134" s="393">
        <f t="shared" si="13"/>
        <v>3.2690735809850282</v>
      </c>
      <c r="AH134" s="393">
        <f t="shared" si="14"/>
        <v>2.6755791053163236</v>
      </c>
      <c r="AI134" s="393"/>
      <c r="AJ134" s="393"/>
      <c r="AK134" s="393"/>
      <c r="AL134" s="393"/>
      <c r="AM134" s="393"/>
      <c r="AN134" s="394"/>
      <c r="AO134" s="394"/>
      <c r="AP134" s="394"/>
      <c r="AQ134" s="394"/>
      <c r="AR134" s="394"/>
      <c r="AS134" s="394"/>
      <c r="AT134" s="394"/>
      <c r="AU134" s="394"/>
      <c r="AV134" s="394"/>
      <c r="AW134" s="394"/>
      <c r="AX134" s="389"/>
      <c r="AY134" s="389"/>
      <c r="BF134" s="15"/>
      <c r="BG134" s="15"/>
      <c r="BH134" s="15"/>
      <c r="BI134" s="16"/>
      <c r="BJ134" s="16"/>
      <c r="BK134" s="16"/>
      <c r="BL134" s="16"/>
    </row>
    <row r="135" spans="1:64" ht="12.5" x14ac:dyDescent="0.25">
      <c r="A135" s="1"/>
      <c r="B135" s="1"/>
      <c r="C135" s="1"/>
      <c r="D135" s="1"/>
      <c r="E135" s="1"/>
      <c r="F135" s="35"/>
      <c r="G135" s="35"/>
      <c r="H135" s="35"/>
      <c r="I135" s="35"/>
      <c r="J135" s="35"/>
      <c r="K135" s="35"/>
      <c r="L135" s="35"/>
      <c r="M135" s="35"/>
      <c r="N135" s="35"/>
      <c r="O135" s="1"/>
      <c r="P135" s="326"/>
      <c r="Q135" s="372">
        <v>27</v>
      </c>
      <c r="R135" s="372">
        <f t="shared" si="3"/>
        <v>2.7</v>
      </c>
      <c r="S135" s="326"/>
      <c r="T135" s="372">
        <f t="shared" si="4"/>
        <v>3.1049999999999995</v>
      </c>
      <c r="U135" s="372">
        <f t="shared" si="5"/>
        <v>-0.20000000000000018</v>
      </c>
      <c r="V135" s="393">
        <f t="shared" si="6"/>
        <v>0.79705347521551695</v>
      </c>
      <c r="W135" s="393">
        <f t="shared" si="7"/>
        <v>3.6530032726692205</v>
      </c>
      <c r="X135" s="326"/>
      <c r="Y135" s="372">
        <f t="shared" si="8"/>
        <v>0.22999999999999998</v>
      </c>
      <c r="Z135" s="372">
        <f t="shared" si="9"/>
        <v>-9.9999999999999978E-2</v>
      </c>
      <c r="AA135" s="393">
        <f t="shared" si="10"/>
        <v>7.2311023307790573E-2</v>
      </c>
      <c r="AB135" s="393">
        <f t="shared" si="11"/>
        <v>0.33612382337637781</v>
      </c>
      <c r="AC135" s="326"/>
      <c r="AD135" s="326"/>
      <c r="AE135" s="393">
        <f t="shared" si="12"/>
        <v>23</v>
      </c>
      <c r="AF135" s="393">
        <f t="shared" si="12"/>
        <v>-9.9999999999999982</v>
      </c>
      <c r="AG135" s="393">
        <f t="shared" si="13"/>
        <v>3.2045605371791388</v>
      </c>
      <c r="AH135" s="393">
        <f t="shared" si="14"/>
        <v>2.6265280229887122</v>
      </c>
      <c r="AI135" s="393"/>
      <c r="AJ135" s="393"/>
      <c r="AK135" s="393"/>
      <c r="AL135" s="393"/>
      <c r="AM135" s="393"/>
      <c r="AN135" s="394"/>
      <c r="AO135" s="394"/>
      <c r="AP135" s="394"/>
      <c r="AQ135" s="394"/>
      <c r="AR135" s="394"/>
      <c r="AS135" s="394"/>
      <c r="AT135" s="394"/>
      <c r="AU135" s="394"/>
      <c r="AV135" s="394"/>
      <c r="AW135" s="394"/>
      <c r="AX135" s="389"/>
      <c r="AY135" s="389"/>
      <c r="BF135" s="15"/>
      <c r="BG135" s="15"/>
      <c r="BH135" s="15"/>
      <c r="BI135" s="16"/>
      <c r="BJ135" s="16"/>
      <c r="BK135" s="16"/>
      <c r="BL135" s="16"/>
    </row>
    <row r="136" spans="1:64" ht="15" customHeight="1" x14ac:dyDescent="0.25">
      <c r="A136" s="1"/>
      <c r="B136" s="1"/>
      <c r="C136" s="1"/>
      <c r="D136" s="1"/>
      <c r="E136" s="1"/>
      <c r="F136" s="378" t="s">
        <v>381</v>
      </c>
      <c r="G136" s="379"/>
      <c r="H136" s="379"/>
      <c r="I136" s="379"/>
      <c r="J136" s="379"/>
      <c r="K136" s="379"/>
      <c r="L136" s="379"/>
      <c r="M136" s="35"/>
      <c r="N136" s="401"/>
      <c r="O136" s="1"/>
      <c r="P136" s="326"/>
      <c r="Q136" s="372">
        <v>28</v>
      </c>
      <c r="R136" s="372">
        <f t="shared" si="3"/>
        <v>2.8000000000000003</v>
      </c>
      <c r="S136" s="326"/>
      <c r="T136" s="372">
        <f t="shared" si="4"/>
        <v>3.08</v>
      </c>
      <c r="U136" s="372">
        <f t="shared" si="5"/>
        <v>-0.30000000000000027</v>
      </c>
      <c r="V136" s="393">
        <f t="shared" si="6"/>
        <v>0.78948355683269444</v>
      </c>
      <c r="W136" s="393">
        <f t="shared" si="7"/>
        <v>3.6179000520315974</v>
      </c>
      <c r="X136" s="326"/>
      <c r="Y136" s="372">
        <f t="shared" si="8"/>
        <v>0.2200000000000002</v>
      </c>
      <c r="Z136" s="372">
        <f t="shared" si="9"/>
        <v>-9.9999999999999978E-2</v>
      </c>
      <c r="AA136" s="393">
        <f t="shared" si="10"/>
        <v>7.0648746807151955E-2</v>
      </c>
      <c r="AB136" s="393">
        <f t="shared" si="11"/>
        <v>0.3288266874793056</v>
      </c>
      <c r="AC136" s="326"/>
      <c r="AD136" s="326"/>
      <c r="AE136" s="393">
        <f t="shared" si="12"/>
        <v>22.000000000000021</v>
      </c>
      <c r="AF136" s="393">
        <f t="shared" si="12"/>
        <v>-9.9999999999999982</v>
      </c>
      <c r="AG136" s="393">
        <f t="shared" si="13"/>
        <v>3.1308945118325875</v>
      </c>
      <c r="AH136" s="393">
        <f t="shared" si="14"/>
        <v>2.5695069772065584</v>
      </c>
      <c r="AI136" s="393"/>
      <c r="AJ136" s="393"/>
      <c r="AK136" s="393"/>
      <c r="AL136" s="393"/>
      <c r="AM136" s="393"/>
      <c r="AN136" s="394"/>
      <c r="AO136" s="394"/>
      <c r="AP136" s="394"/>
      <c r="AQ136" s="394"/>
      <c r="AR136" s="394"/>
      <c r="AS136" s="394"/>
      <c r="AT136" s="394"/>
      <c r="AU136" s="394"/>
      <c r="AV136" s="394"/>
      <c r="AW136" s="394"/>
      <c r="AX136" s="389"/>
      <c r="AY136" s="389"/>
      <c r="BF136" s="15"/>
      <c r="BG136" s="15"/>
      <c r="BH136" s="15"/>
      <c r="BI136" s="16"/>
      <c r="BJ136" s="16"/>
      <c r="BK136" s="16"/>
      <c r="BL136" s="16"/>
    </row>
    <row r="137" spans="1:64" ht="15" customHeight="1" x14ac:dyDescent="0.25">
      <c r="A137" s="1"/>
      <c r="B137" s="1"/>
      <c r="C137" s="1"/>
      <c r="D137" s="1"/>
      <c r="E137" s="1"/>
      <c r="F137" s="178" t="s">
        <v>382</v>
      </c>
      <c r="G137" s="149">
        <f>G131</f>
        <v>0</v>
      </c>
      <c r="H137" s="178" t="s">
        <v>69</v>
      </c>
      <c r="I137" s="178"/>
      <c r="J137" s="178"/>
      <c r="K137" s="178"/>
      <c r="L137" s="178"/>
      <c r="M137" s="178"/>
      <c r="N137" s="178"/>
      <c r="O137" s="1"/>
      <c r="P137" s="326"/>
      <c r="Q137" s="372">
        <v>29</v>
      </c>
      <c r="R137" s="372">
        <f t="shared" si="3"/>
        <v>2.9000000000000004</v>
      </c>
      <c r="S137" s="326"/>
      <c r="T137" s="372">
        <f t="shared" si="4"/>
        <v>3.0449999999999999</v>
      </c>
      <c r="U137" s="372">
        <f t="shared" si="5"/>
        <v>-0.40000000000000036</v>
      </c>
      <c r="V137" s="393">
        <f t="shared" si="6"/>
        <v>0.77891710069444409</v>
      </c>
      <c r="W137" s="393">
        <f t="shared" si="7"/>
        <v>3.5689107510288061</v>
      </c>
      <c r="X137" s="326"/>
      <c r="Y137" s="372">
        <f t="shared" si="8"/>
        <v>0.20999999999999996</v>
      </c>
      <c r="Z137" s="372">
        <f t="shared" si="9"/>
        <v>-9.9999999999999978E-2</v>
      </c>
      <c r="AA137" s="393">
        <f t="shared" si="10"/>
        <v>6.878891283524903E-2</v>
      </c>
      <c r="AB137" s="393">
        <f t="shared" si="11"/>
        <v>0.32055395913154533</v>
      </c>
      <c r="AC137" s="326"/>
      <c r="AD137" s="326"/>
      <c r="AE137" s="393">
        <f t="shared" si="12"/>
        <v>20.999999999999996</v>
      </c>
      <c r="AF137" s="393">
        <f t="shared" si="12"/>
        <v>-9.9999999999999982</v>
      </c>
      <c r="AG137" s="393">
        <f t="shared" si="13"/>
        <v>3.0484734606645407</v>
      </c>
      <c r="AH137" s="393">
        <f t="shared" si="14"/>
        <v>2.5048624881200627</v>
      </c>
      <c r="AI137" s="393"/>
      <c r="AJ137" s="393"/>
      <c r="AK137" s="393"/>
      <c r="AL137" s="393"/>
      <c r="AM137" s="393"/>
      <c r="AN137" s="394"/>
      <c r="AO137" s="394"/>
      <c r="AP137" s="394"/>
      <c r="AQ137" s="394"/>
      <c r="AR137" s="394"/>
      <c r="AS137" s="394"/>
      <c r="AT137" s="394"/>
      <c r="AU137" s="394"/>
      <c r="AV137" s="394"/>
      <c r="AW137" s="394"/>
      <c r="AX137" s="389"/>
      <c r="AY137" s="389"/>
      <c r="BF137" s="15"/>
      <c r="BG137" s="15"/>
      <c r="BH137" s="15"/>
      <c r="BI137" s="16"/>
      <c r="BJ137" s="16"/>
      <c r="BK137" s="16"/>
      <c r="BL137" s="16"/>
    </row>
    <row r="138" spans="1:64" ht="15" customHeight="1" x14ac:dyDescent="0.25">
      <c r="A138" s="1"/>
      <c r="B138" s="1"/>
      <c r="C138" s="1"/>
      <c r="D138" s="1"/>
      <c r="E138" s="1"/>
      <c r="F138" s="178" t="s">
        <v>383</v>
      </c>
      <c r="G138" s="149">
        <f>G134</f>
        <v>0</v>
      </c>
      <c r="H138" s="178" t="s">
        <v>92</v>
      </c>
      <c r="I138" s="35"/>
      <c r="J138" s="35"/>
      <c r="K138" s="35"/>
      <c r="L138" s="35"/>
      <c r="M138" s="35"/>
      <c r="N138" s="35"/>
      <c r="O138" s="1"/>
      <c r="P138" s="326"/>
      <c r="Q138" s="372">
        <v>30</v>
      </c>
      <c r="R138" s="372">
        <f t="shared" si="3"/>
        <v>3</v>
      </c>
      <c r="S138" s="326"/>
      <c r="T138" s="372">
        <f t="shared" si="4"/>
        <v>3</v>
      </c>
      <c r="U138" s="372">
        <f t="shared" si="5"/>
        <v>-0.5</v>
      </c>
      <c r="V138" s="393">
        <f t="shared" si="6"/>
        <v>0.76538553639846729</v>
      </c>
      <c r="W138" s="393">
        <f t="shared" si="7"/>
        <v>3.5061905775507309</v>
      </c>
      <c r="X138" s="326"/>
      <c r="Y138" s="372">
        <f t="shared" si="8"/>
        <v>0.20000000000000018</v>
      </c>
      <c r="Z138" s="372">
        <f t="shared" si="9"/>
        <v>-9.9999999999999978E-2</v>
      </c>
      <c r="AA138" s="393">
        <f t="shared" si="10"/>
        <v>6.6740501277139208E-2</v>
      </c>
      <c r="AB138" s="393">
        <f t="shared" si="11"/>
        <v>0.31134998344449177</v>
      </c>
      <c r="AC138" s="326"/>
      <c r="AD138" s="326"/>
      <c r="AE138" s="393">
        <f t="shared" si="12"/>
        <v>20.000000000000018</v>
      </c>
      <c r="AF138" s="393">
        <f t="shared" si="12"/>
        <v>-9.9999999999999982</v>
      </c>
      <c r="AG138" s="393">
        <f t="shared" si="13"/>
        <v>2.9576953393941539</v>
      </c>
      <c r="AH138" s="393">
        <f t="shared" si="14"/>
        <v>2.4329410758794219</v>
      </c>
      <c r="AI138" s="393"/>
      <c r="AJ138" s="393"/>
      <c r="AK138" s="393"/>
      <c r="AL138" s="393"/>
      <c r="AM138" s="393"/>
      <c r="AN138" s="394"/>
      <c r="AO138" s="394"/>
      <c r="AP138" s="394"/>
      <c r="AQ138" s="394"/>
      <c r="AR138" s="394"/>
      <c r="AS138" s="394"/>
      <c r="AT138" s="394"/>
      <c r="AU138" s="394"/>
      <c r="AV138" s="394"/>
      <c r="AW138" s="394"/>
      <c r="AX138" s="389"/>
      <c r="AY138" s="389"/>
      <c r="BF138" s="15"/>
      <c r="BG138" s="15"/>
      <c r="BH138" s="15"/>
      <c r="BI138" s="16"/>
      <c r="BJ138" s="16"/>
      <c r="BK138" s="16"/>
      <c r="BL138" s="16"/>
    </row>
    <row r="139" spans="1:64" ht="15" customHeight="1" x14ac:dyDescent="0.5">
      <c r="A139" s="1"/>
      <c r="B139" s="1"/>
      <c r="C139" s="1"/>
      <c r="D139" s="1"/>
      <c r="E139" s="1"/>
      <c r="F139" s="374" t="s">
        <v>384</v>
      </c>
      <c r="G139" s="75"/>
      <c r="H139" s="75"/>
      <c r="I139" s="75"/>
      <c r="J139" s="75"/>
      <c r="K139" s="178"/>
      <c r="L139" s="178"/>
      <c r="M139" s="149">
        <f>G137*5/384*(H125*1000)^4/G128/G33+1.2*G137*(H125*1000)^2/8/G127/G32+G138*1000*(H125*1000)^3/48/G128/G33</f>
        <v>0</v>
      </c>
      <c r="N139" s="293" t="s">
        <v>23</v>
      </c>
      <c r="O139" s="1"/>
      <c r="P139" s="326"/>
      <c r="Q139" s="372">
        <v>31</v>
      </c>
      <c r="R139" s="372">
        <f t="shared" si="3"/>
        <v>3.1</v>
      </c>
      <c r="S139" s="326"/>
      <c r="T139" s="372">
        <f t="shared" si="4"/>
        <v>2.9449999999999994</v>
      </c>
      <c r="U139" s="372">
        <f t="shared" si="5"/>
        <v>-0.60000000000000009</v>
      </c>
      <c r="V139" s="393">
        <f t="shared" si="6"/>
        <v>0.74892927342752202</v>
      </c>
      <c r="W139" s="393">
        <f t="shared" si="7"/>
        <v>3.4299390845986464</v>
      </c>
      <c r="X139" s="326"/>
      <c r="Y139" s="372">
        <f t="shared" si="8"/>
        <v>0.18999999999999995</v>
      </c>
      <c r="Z139" s="372">
        <f t="shared" si="9"/>
        <v>-9.9999999999999978E-2</v>
      </c>
      <c r="AA139" s="393">
        <f t="shared" si="10"/>
        <v>6.4512492017879897E-2</v>
      </c>
      <c r="AB139" s="393">
        <f t="shared" si="11"/>
        <v>0.30125910552953961</v>
      </c>
      <c r="AC139" s="326"/>
      <c r="AD139" s="326"/>
      <c r="AE139" s="393">
        <f t="shared" si="12"/>
        <v>18.999999999999993</v>
      </c>
      <c r="AF139" s="393">
        <f t="shared" si="12"/>
        <v>-9.9999999999999982</v>
      </c>
      <c r="AG139" s="393">
        <f t="shared" si="13"/>
        <v>2.858958103740584</v>
      </c>
      <c r="AH139" s="393">
        <f t="shared" si="14"/>
        <v>2.3540892606348303</v>
      </c>
      <c r="AI139" s="393"/>
      <c r="AJ139" s="393"/>
      <c r="AK139" s="393"/>
      <c r="AL139" s="393"/>
      <c r="AM139" s="393"/>
      <c r="AN139" s="394"/>
      <c r="AO139" s="394"/>
      <c r="AP139" s="394"/>
      <c r="AQ139" s="394"/>
      <c r="AR139" s="394"/>
      <c r="AS139" s="394"/>
      <c r="AT139" s="394"/>
      <c r="AU139" s="394"/>
      <c r="AV139" s="394"/>
      <c r="AW139" s="394"/>
      <c r="AX139" s="389"/>
      <c r="AY139" s="389"/>
      <c r="BF139" s="15"/>
      <c r="BG139" s="15"/>
      <c r="BH139" s="15"/>
      <c r="BI139" s="16"/>
      <c r="BJ139" s="16"/>
      <c r="BK139" s="16"/>
      <c r="BL139" s="16"/>
    </row>
    <row r="140" spans="1:64" ht="15" customHeight="1" x14ac:dyDescent="0.25">
      <c r="A140" s="1"/>
      <c r="B140" s="1"/>
      <c r="C140" s="1"/>
      <c r="D140" s="1"/>
      <c r="E140" s="1"/>
      <c r="F140" s="299" t="s">
        <v>385</v>
      </c>
      <c r="G140" s="299"/>
      <c r="H140" s="178"/>
      <c r="I140" s="178"/>
      <c r="J140" s="178"/>
      <c r="K140" s="311"/>
      <c r="L140" s="311"/>
      <c r="M140" s="382">
        <f>M139/J122</f>
        <v>0</v>
      </c>
      <c r="N140" s="383" t="str">
        <f>IF(M140&lt;=1,"OK","NO!")</f>
        <v>OK</v>
      </c>
      <c r="O140" s="1"/>
      <c r="P140" s="326"/>
      <c r="Q140" s="372">
        <v>32</v>
      </c>
      <c r="R140" s="372">
        <f t="shared" si="3"/>
        <v>3.2</v>
      </c>
      <c r="S140" s="326"/>
      <c r="T140" s="372">
        <f t="shared" si="4"/>
        <v>2.879999999999999</v>
      </c>
      <c r="U140" s="372">
        <f t="shared" si="5"/>
        <v>-0.70000000000000018</v>
      </c>
      <c r="V140" s="393">
        <f t="shared" si="6"/>
        <v>0.72959770114942513</v>
      </c>
      <c r="W140" s="393">
        <f t="shared" si="7"/>
        <v>3.340400170285228</v>
      </c>
      <c r="X140" s="326"/>
      <c r="Y140" s="372">
        <f t="shared" si="8"/>
        <v>0.18000000000000016</v>
      </c>
      <c r="Z140" s="372">
        <f t="shared" si="9"/>
        <v>-9.9999999999999978E-2</v>
      </c>
      <c r="AA140" s="393">
        <f t="shared" si="10"/>
        <v>6.2113864942528713E-2</v>
      </c>
      <c r="AB140" s="393">
        <f t="shared" si="11"/>
        <v>0.29032567049808422</v>
      </c>
      <c r="AC140" s="326"/>
      <c r="AD140" s="326"/>
      <c r="AE140" s="393">
        <f t="shared" ref="AE140:AF158" si="15">T140*$U$93+Y140*$Z$93</f>
        <v>18.000000000000014</v>
      </c>
      <c r="AF140" s="393">
        <f t="shared" si="15"/>
        <v>-9.9999999999999982</v>
      </c>
      <c r="AG140" s="393">
        <f t="shared" si="13"/>
        <v>2.7526597094229959</v>
      </c>
      <c r="AH140" s="393">
        <f t="shared" si="14"/>
        <v>2.2686535625364903</v>
      </c>
      <c r="AI140" s="393"/>
      <c r="AJ140" s="393"/>
      <c r="AK140" s="393"/>
      <c r="AL140" s="393"/>
      <c r="AM140" s="393"/>
      <c r="AN140" s="394"/>
      <c r="AO140" s="394"/>
      <c r="AP140" s="394"/>
      <c r="AQ140" s="394"/>
      <c r="AR140" s="394"/>
      <c r="AS140" s="394"/>
      <c r="AT140" s="394"/>
      <c r="AU140" s="394"/>
      <c r="AV140" s="394"/>
      <c r="AW140" s="394"/>
      <c r="AX140" s="389"/>
      <c r="AY140" s="389"/>
      <c r="BF140" s="15"/>
      <c r="BG140" s="15"/>
      <c r="BH140" s="15"/>
      <c r="BI140" s="16"/>
      <c r="BJ140" s="16"/>
      <c r="BK140" s="16"/>
      <c r="BL140" s="16"/>
    </row>
    <row r="141" spans="1:64" ht="12.5" x14ac:dyDescent="0.25">
      <c r="A141" s="1"/>
      <c r="B141" s="1"/>
      <c r="C141" s="1"/>
      <c r="D141" s="1"/>
      <c r="E141" s="1"/>
      <c r="F141" s="35"/>
      <c r="G141" s="35"/>
      <c r="H141" s="35"/>
      <c r="I141" s="35"/>
      <c r="J141" s="35"/>
      <c r="K141" s="35"/>
      <c r="L141" s="35"/>
      <c r="M141" s="35"/>
      <c r="N141" s="35"/>
      <c r="O141" s="1"/>
      <c r="P141" s="326"/>
      <c r="Q141" s="372">
        <v>33</v>
      </c>
      <c r="R141" s="372">
        <f t="shared" si="3"/>
        <v>3.3000000000000003</v>
      </c>
      <c r="S141" s="326"/>
      <c r="T141" s="372">
        <f t="shared" si="4"/>
        <v>2.8049999999999988</v>
      </c>
      <c r="U141" s="372">
        <f t="shared" si="5"/>
        <v>-0.80000000000000027</v>
      </c>
      <c r="V141" s="393">
        <f t="shared" si="6"/>
        <v>0.70744918881704932</v>
      </c>
      <c r="W141" s="393">
        <f t="shared" si="7"/>
        <v>3.2378620778345382</v>
      </c>
      <c r="X141" s="326"/>
      <c r="Y141" s="372">
        <f t="shared" si="8"/>
        <v>0.16999999999999993</v>
      </c>
      <c r="Z141" s="372">
        <f t="shared" si="9"/>
        <v>-9.9999999999999978E-2</v>
      </c>
      <c r="AA141" s="393">
        <f t="shared" si="10"/>
        <v>5.955359993614303E-2</v>
      </c>
      <c r="AB141" s="393">
        <f t="shared" si="11"/>
        <v>0.27859402346152029</v>
      </c>
      <c r="AC141" s="326"/>
      <c r="AD141" s="326"/>
      <c r="AE141" s="393">
        <f t="shared" si="15"/>
        <v>16.999999999999993</v>
      </c>
      <c r="AF141" s="393">
        <f t="shared" si="15"/>
        <v>-9.9999999999999982</v>
      </c>
      <c r="AG141" s="393">
        <f t="shared" si="13"/>
        <v>2.6391981121605443</v>
      </c>
      <c r="AH141" s="393">
        <f t="shared" si="14"/>
        <v>2.1769805017345965</v>
      </c>
      <c r="AI141" s="393"/>
      <c r="AJ141" s="393"/>
      <c r="AK141" s="393"/>
      <c r="AL141" s="393"/>
      <c r="AM141" s="393"/>
      <c r="AN141" s="394"/>
      <c r="AO141" s="394"/>
      <c r="AP141" s="394"/>
      <c r="AQ141" s="394"/>
      <c r="AR141" s="394"/>
      <c r="AS141" s="394"/>
      <c r="AT141" s="394"/>
      <c r="AU141" s="394"/>
      <c r="AV141" s="394"/>
      <c r="AW141" s="394"/>
      <c r="AX141" s="389"/>
      <c r="AY141" s="389"/>
      <c r="BF141" s="15"/>
      <c r="BG141" s="15"/>
      <c r="BH141" s="15"/>
      <c r="BI141" s="16"/>
      <c r="BJ141" s="16"/>
      <c r="BK141" s="16"/>
      <c r="BL141" s="16"/>
    </row>
    <row r="142" spans="1:64" ht="15" customHeight="1" x14ac:dyDescent="0.25">
      <c r="A142" s="1"/>
      <c r="B142" s="1"/>
      <c r="C142" s="1"/>
      <c r="D142" s="1"/>
      <c r="E142" s="1"/>
      <c r="F142" s="378" t="s">
        <v>386</v>
      </c>
      <c r="G142" s="379"/>
      <c r="H142" s="379"/>
      <c r="I142" s="379"/>
      <c r="J142" s="379"/>
      <c r="K142" s="379"/>
      <c r="L142" s="379"/>
      <c r="M142" s="178"/>
      <c r="N142" s="178"/>
      <c r="O142" s="1"/>
      <c r="P142" s="326"/>
      <c r="Q142" s="372">
        <v>34</v>
      </c>
      <c r="R142" s="372">
        <f t="shared" si="3"/>
        <v>3.4000000000000004</v>
      </c>
      <c r="S142" s="326"/>
      <c r="T142" s="372">
        <f t="shared" si="4"/>
        <v>2.7199999999999989</v>
      </c>
      <c r="U142" s="372">
        <f t="shared" si="5"/>
        <v>-0.90000000000000036</v>
      </c>
      <c r="V142" s="393">
        <f t="shared" si="6"/>
        <v>0.682551085568327</v>
      </c>
      <c r="W142" s="393">
        <f t="shared" si="7"/>
        <v>3.1226573955820465</v>
      </c>
      <c r="X142" s="326"/>
      <c r="Y142" s="372">
        <f t="shared" si="8"/>
        <v>0.16000000000000014</v>
      </c>
      <c r="Z142" s="372">
        <f t="shared" si="9"/>
        <v>-9.9999999999999978E-2</v>
      </c>
      <c r="AA142" s="393">
        <f t="shared" si="10"/>
        <v>5.684067688378034E-2</v>
      </c>
      <c r="AB142" s="393">
        <f t="shared" si="11"/>
        <v>0.26610850953124271</v>
      </c>
      <c r="AC142" s="326"/>
      <c r="AD142" s="326"/>
      <c r="AE142" s="393">
        <f t="shared" si="15"/>
        <v>16.000000000000014</v>
      </c>
      <c r="AF142" s="393">
        <f t="shared" si="15"/>
        <v>-9.9999999999999982</v>
      </c>
      <c r="AG142" s="393">
        <f t="shared" si="13"/>
        <v>2.5189712676723901</v>
      </c>
      <c r="AH142" s="393">
        <f t="shared" si="14"/>
        <v>2.0794165983793467</v>
      </c>
      <c r="AI142" s="393"/>
      <c r="AJ142" s="393"/>
      <c r="AK142" s="393"/>
      <c r="AL142" s="393"/>
      <c r="AM142" s="393"/>
      <c r="AN142" s="394"/>
      <c r="AO142" s="394"/>
      <c r="AP142" s="394"/>
      <c r="AQ142" s="394"/>
      <c r="AR142" s="394"/>
      <c r="AS142" s="394"/>
      <c r="AT142" s="394"/>
      <c r="AU142" s="394"/>
      <c r="AV142" s="394"/>
      <c r="AW142" s="394"/>
      <c r="AX142" s="389"/>
      <c r="AY142" s="389"/>
      <c r="BF142" s="15"/>
      <c r="BG142" s="15"/>
      <c r="BH142" s="15"/>
      <c r="BI142" s="16"/>
      <c r="BJ142" s="16"/>
      <c r="BK142" s="16"/>
      <c r="BL142" s="16"/>
    </row>
    <row r="143" spans="1:64" ht="15" customHeight="1" x14ac:dyDescent="0.25">
      <c r="A143" s="1"/>
      <c r="B143" s="1"/>
      <c r="C143" s="1"/>
      <c r="D143" s="1"/>
      <c r="E143" s="1"/>
      <c r="F143" s="178" t="s">
        <v>387</v>
      </c>
      <c r="G143" s="178"/>
      <c r="H143" s="178"/>
      <c r="I143" s="202">
        <f>(G129+G130+G131*(M130))*(1+M129)+(1-M130)*G131</f>
        <v>0.15360000000000001</v>
      </c>
      <c r="J143" s="357" t="s">
        <v>69</v>
      </c>
      <c r="K143" s="178"/>
      <c r="L143" s="178"/>
      <c r="M143" s="178"/>
      <c r="N143" s="178"/>
      <c r="O143" s="1"/>
      <c r="P143" s="326"/>
      <c r="Q143" s="372">
        <v>35</v>
      </c>
      <c r="R143" s="372">
        <f t="shared" si="3"/>
        <v>3.5</v>
      </c>
      <c r="S143" s="326"/>
      <c r="T143" s="372">
        <f t="shared" si="4"/>
        <v>2.625</v>
      </c>
      <c r="U143" s="372">
        <f t="shared" si="5"/>
        <v>-1</v>
      </c>
      <c r="V143" s="393">
        <f t="shared" si="6"/>
        <v>0.65497972042624497</v>
      </c>
      <c r="W143" s="393">
        <f t="shared" si="7"/>
        <v>2.9951630569745991</v>
      </c>
      <c r="X143" s="326"/>
      <c r="Y143" s="372">
        <f t="shared" si="8"/>
        <v>0.14999999999999991</v>
      </c>
      <c r="Z143" s="372">
        <f t="shared" si="9"/>
        <v>-9.9999999999999978E-2</v>
      </c>
      <c r="AA143" s="393">
        <f t="shared" si="10"/>
        <v>5.3984075670498073E-2</v>
      </c>
      <c r="AB143" s="393">
        <f t="shared" si="11"/>
        <v>0.25291347381864626</v>
      </c>
      <c r="AC143" s="326"/>
      <c r="AD143" s="326"/>
      <c r="AE143" s="393">
        <f t="shared" si="15"/>
        <v>14.999999999999991</v>
      </c>
      <c r="AF143" s="393">
        <f t="shared" si="15"/>
        <v>-9.9999999999999982</v>
      </c>
      <c r="AG143" s="393">
        <f t="shared" si="13"/>
        <v>2.3923771316776898</v>
      </c>
      <c r="AH143" s="393">
        <f t="shared" si="14"/>
        <v>1.9763083726209369</v>
      </c>
      <c r="AI143" s="393"/>
      <c r="AJ143" s="393"/>
      <c r="AK143" s="393"/>
      <c r="AL143" s="393"/>
      <c r="AM143" s="393"/>
      <c r="AN143" s="394"/>
      <c r="AO143" s="394"/>
      <c r="AP143" s="394"/>
      <c r="AQ143" s="394"/>
      <c r="AR143" s="394"/>
      <c r="AS143" s="394"/>
      <c r="AT143" s="394"/>
      <c r="AU143" s="394"/>
      <c r="AV143" s="394"/>
      <c r="AW143" s="394"/>
      <c r="AX143" s="389"/>
      <c r="AY143" s="389"/>
      <c r="BF143" s="15"/>
      <c r="BG143" s="15"/>
      <c r="BH143" s="15"/>
      <c r="BI143" s="16"/>
      <c r="BJ143" s="16"/>
      <c r="BK143" s="16"/>
      <c r="BL143" s="16"/>
    </row>
    <row r="144" spans="1:64" ht="15" customHeight="1" x14ac:dyDescent="0.25">
      <c r="A144" s="1"/>
      <c r="B144" s="1"/>
      <c r="C144" s="1"/>
      <c r="D144" s="1"/>
      <c r="E144" s="1"/>
      <c r="F144" s="178" t="s">
        <v>388</v>
      </c>
      <c r="G144" s="178"/>
      <c r="H144" s="178"/>
      <c r="I144" s="202">
        <f>(G132+G133+G134*(M130))*(1+M129)+(1-M130)*G134</f>
        <v>0</v>
      </c>
      <c r="J144" s="357" t="s">
        <v>92</v>
      </c>
      <c r="K144" s="35"/>
      <c r="L144" s="35"/>
      <c r="M144" s="35"/>
      <c r="N144" s="35"/>
      <c r="O144" s="1"/>
      <c r="P144" s="326"/>
      <c r="Q144" s="372">
        <v>36</v>
      </c>
      <c r="R144" s="372">
        <f t="shared" si="3"/>
        <v>3.6</v>
      </c>
      <c r="S144" s="326"/>
      <c r="T144" s="372">
        <f t="shared" si="4"/>
        <v>2.5199999999999996</v>
      </c>
      <c r="U144" s="372">
        <f t="shared" si="5"/>
        <v>-1.1000000000000001</v>
      </c>
      <c r="V144" s="393">
        <f t="shared" si="6"/>
        <v>0.62482040229885027</v>
      </c>
      <c r="W144" s="393">
        <f t="shared" si="7"/>
        <v>2.8558003405704548</v>
      </c>
      <c r="X144" s="326"/>
      <c r="Y144" s="372">
        <f t="shared" si="8"/>
        <v>0.14000000000000012</v>
      </c>
      <c r="Z144" s="372">
        <f t="shared" si="9"/>
        <v>-9.9999999999999978E-2</v>
      </c>
      <c r="AA144" s="393">
        <f t="shared" si="10"/>
        <v>5.0992776181353748E-2</v>
      </c>
      <c r="AB144" s="393">
        <f t="shared" si="11"/>
        <v>0.23905326143512604</v>
      </c>
      <c r="AC144" s="326"/>
      <c r="AD144" s="326"/>
      <c r="AE144" s="393">
        <f t="shared" si="15"/>
        <v>14.000000000000012</v>
      </c>
      <c r="AF144" s="393">
        <f t="shared" si="15"/>
        <v>-9.9999999999999982</v>
      </c>
      <c r="AG144" s="393">
        <f t="shared" si="13"/>
        <v>2.2598136598956038</v>
      </c>
      <c r="AH144" s="393">
        <f t="shared" si="14"/>
        <v>1.8680023446095659</v>
      </c>
      <c r="AI144" s="393"/>
      <c r="AJ144" s="393"/>
      <c r="AK144" s="393"/>
      <c r="AL144" s="393"/>
      <c r="AM144" s="393"/>
      <c r="AN144" s="394"/>
      <c r="AO144" s="394"/>
      <c r="AP144" s="394"/>
      <c r="AQ144" s="394"/>
      <c r="AR144" s="394"/>
      <c r="AS144" s="394"/>
      <c r="AT144" s="394"/>
      <c r="AU144" s="394"/>
      <c r="AV144" s="394"/>
      <c r="AW144" s="394"/>
      <c r="AX144" s="389"/>
      <c r="AY144" s="389"/>
      <c r="BF144" s="15"/>
      <c r="BG144" s="15"/>
      <c r="BH144" s="15"/>
      <c r="BI144" s="16"/>
      <c r="BJ144" s="16"/>
      <c r="BK144" s="16"/>
      <c r="BL144" s="16"/>
    </row>
    <row r="145" spans="1:64" ht="15" customHeight="1" x14ac:dyDescent="0.5">
      <c r="A145" s="1"/>
      <c r="B145" s="1"/>
      <c r="C145" s="1"/>
      <c r="D145" s="1"/>
      <c r="E145" s="1"/>
      <c r="F145" s="374" t="s">
        <v>389</v>
      </c>
      <c r="G145" s="374"/>
      <c r="H145" s="374"/>
      <c r="I145" s="374"/>
      <c r="J145" s="374"/>
      <c r="K145" s="374"/>
      <c r="L145" s="374"/>
      <c r="M145" s="149">
        <f>I143*5/384*(H125*1000)^4/G128/G33+1.2*I143*(H125*1000)^2/8/G127/G32+I144*1000*(H125*1000)^3/48/G128/G33-H114</f>
        <v>3.1326631479933109</v>
      </c>
      <c r="N145" s="293" t="s">
        <v>23</v>
      </c>
      <c r="O145" s="1"/>
      <c r="P145" s="326"/>
      <c r="Q145" s="372">
        <v>37</v>
      </c>
      <c r="R145" s="372">
        <f t="shared" si="3"/>
        <v>3.7</v>
      </c>
      <c r="S145" s="326"/>
      <c r="T145" s="372">
        <f t="shared" si="4"/>
        <v>2.4049999999999994</v>
      </c>
      <c r="U145" s="372">
        <f t="shared" si="5"/>
        <v>-1.2000000000000002</v>
      </c>
      <c r="V145" s="393">
        <f t="shared" si="6"/>
        <v>0.59216741997924593</v>
      </c>
      <c r="W145" s="393">
        <f t="shared" si="7"/>
        <v>2.7050348700392588</v>
      </c>
      <c r="X145" s="326"/>
      <c r="Y145" s="372">
        <f t="shared" si="8"/>
        <v>0.12999999999999989</v>
      </c>
      <c r="Z145" s="372">
        <f t="shared" si="9"/>
        <v>-9.9999999999999978E-2</v>
      </c>
      <c r="AA145" s="393">
        <f t="shared" si="10"/>
        <v>4.7875758301404836E-2</v>
      </c>
      <c r="AB145" s="393">
        <f t="shared" si="11"/>
        <v>0.22457221749207701</v>
      </c>
      <c r="AC145" s="326"/>
      <c r="AD145" s="326"/>
      <c r="AE145" s="393">
        <f t="shared" si="15"/>
        <v>12.999999999999989</v>
      </c>
      <c r="AF145" s="393">
        <f t="shared" si="15"/>
        <v>-9.9999999999999982</v>
      </c>
      <c r="AG145" s="393">
        <f t="shared" si="13"/>
        <v>2.1216788080452926</v>
      </c>
      <c r="AH145" s="393">
        <f t="shared" si="14"/>
        <v>1.7548450344954321</v>
      </c>
      <c r="AI145" s="393"/>
      <c r="AJ145" s="393"/>
      <c r="AK145" s="393"/>
      <c r="AL145" s="393"/>
      <c r="AM145" s="393"/>
      <c r="AN145" s="394"/>
      <c r="AO145" s="394"/>
      <c r="AP145" s="394"/>
      <c r="AQ145" s="394"/>
      <c r="AR145" s="394"/>
      <c r="AS145" s="394"/>
      <c r="AT145" s="394"/>
      <c r="AU145" s="394"/>
      <c r="AV145" s="394"/>
      <c r="AW145" s="394"/>
      <c r="AX145" s="389"/>
      <c r="AY145" s="389"/>
      <c r="BF145" s="15"/>
      <c r="BG145" s="15"/>
      <c r="BH145" s="15"/>
      <c r="BI145" s="16"/>
      <c r="BJ145" s="16"/>
      <c r="BK145" s="16"/>
      <c r="BL145" s="16"/>
    </row>
    <row r="146" spans="1:64" ht="15" customHeight="1" x14ac:dyDescent="0.25">
      <c r="A146" s="1"/>
      <c r="B146" s="1"/>
      <c r="C146" s="1"/>
      <c r="D146" s="1"/>
      <c r="E146" s="1"/>
      <c r="F146" s="75" t="s">
        <v>390</v>
      </c>
      <c r="G146" s="75"/>
      <c r="H146" s="178" t="str">
        <f>IF(M145&lt;0,"(*) freccia finale, comprensiva di controfreccia, verso l'alto","")</f>
        <v/>
      </c>
      <c r="I146" s="178"/>
      <c r="J146" s="178"/>
      <c r="K146" s="178"/>
      <c r="L146" s="363"/>
      <c r="M146" s="382">
        <f>M145/J123</f>
        <v>0.17403684155518395</v>
      </c>
      <c r="N146" s="383" t="str">
        <f>IF(M146&lt;=1,"OK","NO!")</f>
        <v>OK</v>
      </c>
      <c r="O146" s="1"/>
      <c r="P146" s="326"/>
      <c r="Q146" s="372">
        <v>38</v>
      </c>
      <c r="R146" s="372">
        <f t="shared" si="3"/>
        <v>3.8000000000000003</v>
      </c>
      <c r="S146" s="326"/>
      <c r="T146" s="372">
        <f t="shared" si="4"/>
        <v>2.2799999999999994</v>
      </c>
      <c r="U146" s="372">
        <f t="shared" si="5"/>
        <v>-1.3000000000000003</v>
      </c>
      <c r="V146" s="393">
        <f t="shared" si="6"/>
        <v>0.55712404214559397</v>
      </c>
      <c r="W146" s="393">
        <f t="shared" si="7"/>
        <v>2.5433766141620557</v>
      </c>
      <c r="X146" s="326"/>
      <c r="Y146" s="372">
        <f t="shared" si="8"/>
        <v>0.12000000000000011</v>
      </c>
      <c r="Z146" s="372">
        <f t="shared" si="9"/>
        <v>-9.9999999999999978E-2</v>
      </c>
      <c r="AA146" s="393">
        <f t="shared" si="10"/>
        <v>4.4642001915708787E-2</v>
      </c>
      <c r="AB146" s="393">
        <f t="shared" si="11"/>
        <v>0.20951468710089394</v>
      </c>
      <c r="AC146" s="326"/>
      <c r="AD146" s="326"/>
      <c r="AE146" s="393">
        <f t="shared" si="15"/>
        <v>12.000000000000011</v>
      </c>
      <c r="AF146" s="393">
        <f t="shared" si="15"/>
        <v>-9.9999999999999982</v>
      </c>
      <c r="AG146" s="393">
        <f t="shared" si="13"/>
        <v>1.9783705318459135</v>
      </c>
      <c r="AH146" s="393">
        <f t="shared" si="14"/>
        <v>1.6371829624287306</v>
      </c>
      <c r="AI146" s="393"/>
      <c r="AJ146" s="393"/>
      <c r="AK146" s="393"/>
      <c r="AL146" s="393"/>
      <c r="AM146" s="393"/>
      <c r="AN146" s="394"/>
      <c r="AO146" s="394"/>
      <c r="AP146" s="394"/>
      <c r="AQ146" s="394"/>
      <c r="AR146" s="394"/>
      <c r="AS146" s="394"/>
      <c r="AT146" s="394"/>
      <c r="AU146" s="394"/>
      <c r="AV146" s="394"/>
      <c r="AW146" s="394"/>
      <c r="AX146" s="389"/>
      <c r="AY146" s="389"/>
      <c r="BF146" s="15"/>
      <c r="BG146" s="15"/>
      <c r="BH146" s="15"/>
      <c r="BI146" s="16"/>
      <c r="BJ146" s="16"/>
      <c r="BK146" s="16"/>
      <c r="BL146" s="16"/>
    </row>
    <row r="147" spans="1:64" ht="15" customHeight="1" x14ac:dyDescent="0.25">
      <c r="A147" s="1"/>
      <c r="B147" s="1"/>
      <c r="C147" s="1"/>
      <c r="D147" s="1"/>
      <c r="E147" s="1"/>
      <c r="F147" s="35"/>
      <c r="G147" s="35"/>
      <c r="H147" s="35"/>
      <c r="I147" s="35"/>
      <c r="J147" s="35"/>
      <c r="K147" s="35"/>
      <c r="L147" s="35"/>
      <c r="M147" s="35"/>
      <c r="N147" s="35"/>
      <c r="O147" s="1"/>
      <c r="P147" s="326"/>
      <c r="Q147" s="372">
        <v>39</v>
      </c>
      <c r="R147" s="372">
        <f t="shared" si="3"/>
        <v>3.9000000000000004</v>
      </c>
      <c r="S147" s="326"/>
      <c r="T147" s="372">
        <f t="shared" si="4"/>
        <v>2.1449999999999987</v>
      </c>
      <c r="U147" s="372">
        <f t="shared" si="5"/>
        <v>-1.4000000000000004</v>
      </c>
      <c r="V147" s="393">
        <f t="shared" si="6"/>
        <v>0.51980251736111072</v>
      </c>
      <c r="W147" s="393">
        <f t="shared" si="7"/>
        <v>2.3713798868312748</v>
      </c>
      <c r="X147" s="326"/>
      <c r="Y147" s="372">
        <f t="shared" si="8"/>
        <v>0.10999999999999988</v>
      </c>
      <c r="Z147" s="372">
        <f t="shared" si="9"/>
        <v>-9.9999999999999978E-2</v>
      </c>
      <c r="AA147" s="393">
        <f t="shared" si="10"/>
        <v>4.1300486909323093E-2</v>
      </c>
      <c r="AB147" s="393">
        <f t="shared" si="11"/>
        <v>0.19392501537297191</v>
      </c>
      <c r="AC147" s="326"/>
      <c r="AD147" s="326"/>
      <c r="AE147" s="393">
        <f t="shared" si="15"/>
        <v>10.999999999999988</v>
      </c>
      <c r="AF147" s="393">
        <f t="shared" si="15"/>
        <v>-9.9999999999999982</v>
      </c>
      <c r="AG147" s="393">
        <f t="shared" si="13"/>
        <v>1.8302867870166264</v>
      </c>
      <c r="AH147" s="393">
        <f t="shared" si="14"/>
        <v>1.515362648559661</v>
      </c>
      <c r="AI147" s="393"/>
      <c r="AJ147" s="393"/>
      <c r="AK147" s="393"/>
      <c r="AL147" s="393"/>
      <c r="AM147" s="393"/>
      <c r="AN147" s="394"/>
      <c r="AO147" s="394"/>
      <c r="AP147" s="394"/>
      <c r="AQ147" s="394"/>
      <c r="AR147" s="394"/>
      <c r="AS147" s="394"/>
      <c r="AT147" s="394"/>
      <c r="AU147" s="394"/>
      <c r="AV147" s="394"/>
      <c r="AW147" s="394"/>
      <c r="AX147" s="389"/>
      <c r="AY147" s="389"/>
      <c r="BF147" s="15"/>
      <c r="BG147" s="15"/>
      <c r="BH147" s="15"/>
      <c r="BI147" s="16"/>
      <c r="BJ147" s="16"/>
      <c r="BK147" s="16"/>
      <c r="BL147" s="16"/>
    </row>
    <row r="148" spans="1:64" ht="15" customHeight="1" x14ac:dyDescent="0.25">
      <c r="A148" s="1"/>
      <c r="B148" s="1"/>
      <c r="C148" s="1"/>
      <c r="D148" s="1"/>
      <c r="E148" s="1"/>
      <c r="F148" s="378" t="s">
        <v>391</v>
      </c>
      <c r="G148" s="379"/>
      <c r="H148" s="379"/>
      <c r="I148" s="379"/>
      <c r="J148" s="379"/>
      <c r="K148" s="379"/>
      <c r="L148" s="379"/>
      <c r="M148" s="178"/>
      <c r="N148" s="178"/>
      <c r="O148" s="1"/>
      <c r="P148" s="326"/>
      <c r="Q148" s="372">
        <v>40</v>
      </c>
      <c r="R148" s="372">
        <f t="shared" si="3"/>
        <v>4</v>
      </c>
      <c r="S148" s="326"/>
      <c r="T148" s="372">
        <f t="shared" si="4"/>
        <v>2</v>
      </c>
      <c r="U148" s="372">
        <f t="shared" si="5"/>
        <v>-1.5</v>
      </c>
      <c r="V148" s="393">
        <f t="shared" si="6"/>
        <v>0.48032407407407385</v>
      </c>
      <c r="W148" s="393">
        <f t="shared" si="7"/>
        <v>2.1896433470507541</v>
      </c>
      <c r="X148" s="326"/>
      <c r="Y148" s="372">
        <f t="shared" si="8"/>
        <v>0.10000000000000009</v>
      </c>
      <c r="Z148" s="372">
        <f t="shared" si="9"/>
        <v>-9.9999999999999978E-2</v>
      </c>
      <c r="AA148" s="393">
        <f t="shared" si="10"/>
        <v>3.7860193167305212E-2</v>
      </c>
      <c r="AB148" s="393">
        <f t="shared" si="11"/>
        <v>0.17784754741970574</v>
      </c>
      <c r="AC148" s="326"/>
      <c r="AD148" s="326"/>
      <c r="AE148" s="393">
        <f t="shared" si="15"/>
        <v>10.000000000000009</v>
      </c>
      <c r="AF148" s="393">
        <f t="shared" si="15"/>
        <v>-9.9999999999999982</v>
      </c>
      <c r="AG148" s="393">
        <f t="shared" si="13"/>
        <v>1.67782552927659</v>
      </c>
      <c r="AH148" s="393">
        <f t="shared" si="14"/>
        <v>1.3897306130384195</v>
      </c>
      <c r="AI148" s="393"/>
      <c r="AJ148" s="393"/>
      <c r="AK148" s="393"/>
      <c r="AL148" s="393"/>
      <c r="AM148" s="393"/>
      <c r="AN148" s="394"/>
      <c r="AO148" s="394"/>
      <c r="AP148" s="394"/>
      <c r="AQ148" s="394"/>
      <c r="AR148" s="394"/>
      <c r="AS148" s="394"/>
      <c r="AT148" s="394"/>
      <c r="AU148" s="394"/>
      <c r="AV148" s="394"/>
      <c r="AW148" s="394"/>
      <c r="AX148" s="389"/>
      <c r="AY148" s="389"/>
      <c r="BF148" s="15"/>
      <c r="BG148" s="15"/>
      <c r="BH148" s="15"/>
      <c r="BI148" s="16"/>
      <c r="BJ148" s="16"/>
      <c r="BK148" s="16"/>
      <c r="BL148" s="16"/>
    </row>
    <row r="149" spans="1:64" ht="15" customHeight="1" x14ac:dyDescent="0.25">
      <c r="A149" s="1"/>
      <c r="B149" s="1"/>
      <c r="C149" s="1"/>
      <c r="D149" s="1"/>
      <c r="E149" s="1"/>
      <c r="F149" s="178" t="s">
        <v>387</v>
      </c>
      <c r="G149" s="178"/>
      <c r="H149" s="178"/>
      <c r="I149" s="202">
        <f>(G129+G130+G131*(M130))*(1+M129)+(1-M130)*G131</f>
        <v>0.15360000000000001</v>
      </c>
      <c r="J149" s="357" t="s">
        <v>69</v>
      </c>
      <c r="K149" s="178"/>
      <c r="L149" s="178"/>
      <c r="M149" s="178"/>
      <c r="N149" s="178"/>
      <c r="O149" s="1"/>
      <c r="P149" s="326"/>
      <c r="Q149" s="372">
        <v>41</v>
      </c>
      <c r="R149" s="372">
        <f t="shared" si="3"/>
        <v>4.1000000000000005</v>
      </c>
      <c r="S149" s="326"/>
      <c r="T149" s="372">
        <f t="shared" si="4"/>
        <v>1.8449999999999989</v>
      </c>
      <c r="U149" s="372">
        <f t="shared" si="5"/>
        <v>-1.6000000000000005</v>
      </c>
      <c r="V149" s="393">
        <f t="shared" si="6"/>
        <v>0.43881892061781563</v>
      </c>
      <c r="W149" s="393">
        <f t="shared" si="7"/>
        <v>1.998809998935716</v>
      </c>
      <c r="X149" s="326"/>
      <c r="Y149" s="372">
        <f t="shared" si="8"/>
        <v>8.9999999999999858E-2</v>
      </c>
      <c r="Z149" s="372">
        <f t="shared" si="9"/>
        <v>-9.9999999999999978E-2</v>
      </c>
      <c r="AA149" s="393">
        <f t="shared" si="10"/>
        <v>3.4330100574712627E-2</v>
      </c>
      <c r="AB149" s="393">
        <f t="shared" si="11"/>
        <v>0.1613266283524904</v>
      </c>
      <c r="AC149" s="326"/>
      <c r="AD149" s="326"/>
      <c r="AE149" s="393">
        <f t="shared" si="15"/>
        <v>8.9999999999999858</v>
      </c>
      <c r="AF149" s="393">
        <f t="shared" si="15"/>
        <v>-9.9999999999999982</v>
      </c>
      <c r="AG149" s="393">
        <f t="shared" si="13"/>
        <v>1.5213847143449635</v>
      </c>
      <c r="AH149" s="393">
        <f t="shared" si="14"/>
        <v>1.2606333760152042</v>
      </c>
      <c r="AI149" s="393"/>
      <c r="AJ149" s="393"/>
      <c r="AK149" s="393"/>
      <c r="AL149" s="393"/>
      <c r="AM149" s="393"/>
      <c r="AN149" s="394"/>
      <c r="AO149" s="394"/>
      <c r="AP149" s="394"/>
      <c r="AQ149" s="394"/>
      <c r="AR149" s="394"/>
      <c r="AS149" s="394"/>
      <c r="AT149" s="394"/>
      <c r="AU149" s="394"/>
      <c r="AV149" s="394"/>
      <c r="AW149" s="394"/>
      <c r="AX149" s="389"/>
      <c r="AY149" s="389"/>
      <c r="BF149" s="15"/>
      <c r="BG149" s="15"/>
      <c r="BH149" s="15"/>
      <c r="BI149" s="16"/>
      <c r="BJ149" s="16"/>
      <c r="BK149" s="16"/>
      <c r="BL149" s="16"/>
    </row>
    <row r="150" spans="1:64" ht="15" customHeight="1" x14ac:dyDescent="0.25">
      <c r="A150" s="1"/>
      <c r="B150" s="1"/>
      <c r="C150" s="1"/>
      <c r="D150" s="1"/>
      <c r="E150" s="1"/>
      <c r="F150" s="178" t="s">
        <v>388</v>
      </c>
      <c r="G150" s="178"/>
      <c r="H150" s="178"/>
      <c r="I150" s="202">
        <f>(G132+G133+G134*(M130))*(1+M129)+(1-M130)*G134</f>
        <v>0</v>
      </c>
      <c r="J150" s="357" t="s">
        <v>92</v>
      </c>
      <c r="K150" s="35"/>
      <c r="L150" s="35"/>
      <c r="M150" s="35"/>
      <c r="N150" s="35"/>
      <c r="O150" s="1"/>
      <c r="P150" s="326"/>
      <c r="Q150" s="372">
        <v>42</v>
      </c>
      <c r="R150" s="372">
        <f t="shared" si="3"/>
        <v>4.2</v>
      </c>
      <c r="S150" s="326"/>
      <c r="T150" s="372">
        <f t="shared" si="4"/>
        <v>1.6799999999999997</v>
      </c>
      <c r="U150" s="372">
        <f t="shared" si="5"/>
        <v>-1.7000000000000002</v>
      </c>
      <c r="V150" s="393">
        <f t="shared" si="6"/>
        <v>0.39542624521072761</v>
      </c>
      <c r="W150" s="393">
        <f t="shared" si="7"/>
        <v>1.7995671917127847</v>
      </c>
      <c r="X150" s="326"/>
      <c r="Y150" s="372">
        <f t="shared" si="8"/>
        <v>8.0000000000000071E-2</v>
      </c>
      <c r="Z150" s="372">
        <f t="shared" si="9"/>
        <v>-9.9999999999999978E-2</v>
      </c>
      <c r="AA150" s="393">
        <f t="shared" si="10"/>
        <v>3.0719189016602786E-2</v>
      </c>
      <c r="AB150" s="393">
        <f t="shared" si="11"/>
        <v>0.14440660328272073</v>
      </c>
      <c r="AC150" s="326"/>
      <c r="AD150" s="326"/>
      <c r="AE150" s="393">
        <f t="shared" si="15"/>
        <v>8.0000000000000071</v>
      </c>
      <c r="AF150" s="393">
        <f t="shared" si="15"/>
        <v>-9.9999999999999982</v>
      </c>
      <c r="AG150" s="393">
        <f t="shared" si="13"/>
        <v>1.361362297940905</v>
      </c>
      <c r="AH150" s="393">
        <f t="shared" si="14"/>
        <v>1.1284174576402115</v>
      </c>
      <c r="AI150" s="393"/>
      <c r="AJ150" s="393"/>
      <c r="AK150" s="393"/>
      <c r="AL150" s="393"/>
      <c r="AM150" s="393"/>
      <c r="AN150" s="394"/>
      <c r="AO150" s="394"/>
      <c r="AP150" s="394"/>
      <c r="AQ150" s="394"/>
      <c r="AR150" s="394"/>
      <c r="AS150" s="394"/>
      <c r="AT150" s="394"/>
      <c r="AU150" s="394"/>
      <c r="AV150" s="394"/>
      <c r="AW150" s="394"/>
      <c r="AX150" s="389"/>
      <c r="AY150" s="389"/>
      <c r="BF150" s="15"/>
      <c r="BG150" s="15"/>
      <c r="BH150" s="15"/>
      <c r="BI150" s="16"/>
      <c r="BJ150" s="16"/>
      <c r="BK150" s="16"/>
      <c r="BL150" s="16"/>
    </row>
    <row r="151" spans="1:64" ht="15" customHeight="1" x14ac:dyDescent="0.5">
      <c r="A151" s="1"/>
      <c r="B151" s="1"/>
      <c r="C151" s="1"/>
      <c r="D151" s="1"/>
      <c r="E151" s="1"/>
      <c r="F151" s="374" t="s">
        <v>392</v>
      </c>
      <c r="G151" s="374"/>
      <c r="H151" s="374"/>
      <c r="I151" s="374"/>
      <c r="J151" s="374"/>
      <c r="K151" s="374"/>
      <c r="L151" s="374"/>
      <c r="M151" s="149">
        <f>I143*5/384*(H125*1000)^4/G128/G33+1.2*I143*(H125*1000)^2/8/G127/G32+I144*1000*(H125*1000)^3/48/G128/G33</f>
        <v>3.1326631479933109</v>
      </c>
      <c r="N151" s="293" t="s">
        <v>23</v>
      </c>
      <c r="O151" s="1"/>
      <c r="P151" s="326"/>
      <c r="Q151" s="372">
        <v>43</v>
      </c>
      <c r="R151" s="372">
        <f t="shared" si="3"/>
        <v>4.3</v>
      </c>
      <c r="S151" s="326"/>
      <c r="T151" s="372">
        <f t="shared" si="4"/>
        <v>1.5050000000000008</v>
      </c>
      <c r="U151" s="372">
        <f t="shared" si="5"/>
        <v>-1.7999999999999998</v>
      </c>
      <c r="V151" s="393">
        <f t="shared" si="6"/>
        <v>0.35029421595625809</v>
      </c>
      <c r="W151" s="393">
        <f t="shared" si="7"/>
        <v>1.5926466197199769</v>
      </c>
      <c r="X151" s="326"/>
      <c r="Y151" s="372">
        <f t="shared" si="8"/>
        <v>7.0000000000000284E-2</v>
      </c>
      <c r="Z151" s="372">
        <f t="shared" si="9"/>
        <v>-9.9999999999999978E-2</v>
      </c>
      <c r="AA151" s="393">
        <f t="shared" si="10"/>
        <v>2.7036438378033184E-2</v>
      </c>
      <c r="AB151" s="393">
        <f t="shared" si="11"/>
        <v>0.12713181732179174</v>
      </c>
      <c r="AC151" s="326"/>
      <c r="AD151" s="326"/>
      <c r="AE151" s="393">
        <f t="shared" si="15"/>
        <v>7.0000000000000284</v>
      </c>
      <c r="AF151" s="393">
        <f t="shared" si="15"/>
        <v>-9.9999999999999982</v>
      </c>
      <c r="AG151" s="393">
        <f t="shared" si="13"/>
        <v>1.1981562357835749</v>
      </c>
      <c r="AH151" s="393">
        <f t="shared" si="14"/>
        <v>0.99342937806364007</v>
      </c>
      <c r="AI151" s="393"/>
      <c r="AJ151" s="393"/>
      <c r="AK151" s="393"/>
      <c r="AL151" s="393"/>
      <c r="AM151" s="393"/>
      <c r="AN151" s="394"/>
      <c r="AO151" s="394"/>
      <c r="AP151" s="394"/>
      <c r="AQ151" s="394"/>
      <c r="AR151" s="394"/>
      <c r="AS151" s="394"/>
      <c r="AT151" s="394"/>
      <c r="AU151" s="394"/>
      <c r="AV151" s="394"/>
      <c r="AW151" s="394"/>
      <c r="AX151" s="389"/>
      <c r="AY151" s="389"/>
      <c r="BF151" s="15"/>
      <c r="BG151" s="15"/>
      <c r="BH151" s="15"/>
      <c r="BI151" s="16"/>
      <c r="BJ151" s="16"/>
      <c r="BK151" s="16"/>
      <c r="BL151" s="16"/>
    </row>
    <row r="152" spans="1:64" ht="15" customHeight="1" x14ac:dyDescent="0.25">
      <c r="A152" s="1"/>
      <c r="B152" s="1"/>
      <c r="C152" s="1"/>
      <c r="D152" s="1"/>
      <c r="E152" s="1"/>
      <c r="F152" s="75" t="s">
        <v>393</v>
      </c>
      <c r="G152" s="75"/>
      <c r="H152" s="178" t="str">
        <f>IF(M151&lt;0,"(*) freccia finale, comprensiva di controfreccia, verso l'alto","")</f>
        <v/>
      </c>
      <c r="I152" s="178"/>
      <c r="J152" s="178"/>
      <c r="K152" s="178"/>
      <c r="L152" s="363"/>
      <c r="M152" s="382">
        <f>M151/J124</f>
        <v>0.13922947324414714</v>
      </c>
      <c r="N152" s="383" t="str">
        <f>IF(M152&lt;=1,"OK","NO!")</f>
        <v>OK</v>
      </c>
      <c r="O152" s="1"/>
      <c r="P152" s="326"/>
      <c r="Q152" s="372">
        <v>44</v>
      </c>
      <c r="R152" s="372">
        <f t="shared" si="3"/>
        <v>4.4000000000000004</v>
      </c>
      <c r="S152" s="326"/>
      <c r="T152" s="372">
        <f t="shared" si="4"/>
        <v>1.3199999999999985</v>
      </c>
      <c r="U152" s="372">
        <f t="shared" si="5"/>
        <v>-1.9000000000000004</v>
      </c>
      <c r="V152" s="393">
        <f t="shared" si="6"/>
        <v>0.30357998084291127</v>
      </c>
      <c r="W152" s="393">
        <f t="shared" si="7"/>
        <v>1.3788243224066956</v>
      </c>
      <c r="X152" s="326"/>
      <c r="Y152" s="372">
        <f t="shared" si="8"/>
        <v>6.0000000000000053E-2</v>
      </c>
      <c r="Z152" s="372">
        <f t="shared" si="9"/>
        <v>-9.9999999999999978E-2</v>
      </c>
      <c r="AA152" s="393">
        <f t="shared" si="10"/>
        <v>2.3290828544061348E-2</v>
      </c>
      <c r="AB152" s="393">
        <f t="shared" si="11"/>
        <v>0.1095466155810986</v>
      </c>
      <c r="AC152" s="326"/>
      <c r="AD152" s="326"/>
      <c r="AE152" s="393">
        <f t="shared" si="15"/>
        <v>6.0000000000000053</v>
      </c>
      <c r="AF152" s="393">
        <f t="shared" si="15"/>
        <v>-9.9999999999999982</v>
      </c>
      <c r="AG152" s="393">
        <f t="shared" si="13"/>
        <v>1.0321644835921344</v>
      </c>
      <c r="AH152" s="393">
        <f t="shared" si="14"/>
        <v>0.85601565743568886</v>
      </c>
      <c r="AI152" s="393"/>
      <c r="AJ152" s="393"/>
      <c r="AK152" s="393"/>
      <c r="AL152" s="393"/>
      <c r="AM152" s="393"/>
      <c r="AN152" s="394"/>
      <c r="AO152" s="394"/>
      <c r="AP152" s="394"/>
      <c r="AQ152" s="394"/>
      <c r="AR152" s="394"/>
      <c r="AS152" s="394"/>
      <c r="AT152" s="394"/>
      <c r="AU152" s="394"/>
      <c r="AV152" s="394"/>
      <c r="AW152" s="394"/>
      <c r="AX152" s="389"/>
      <c r="AY152" s="389"/>
      <c r="BF152" s="15"/>
      <c r="BG152" s="15"/>
      <c r="BH152" s="15"/>
      <c r="BI152" s="16"/>
      <c r="BJ152" s="16"/>
      <c r="BK152" s="16"/>
      <c r="BL152" s="16"/>
    </row>
    <row r="153" spans="1:64" ht="15" customHeight="1" x14ac:dyDescent="0.25">
      <c r="A153" s="1"/>
      <c r="B153" s="1"/>
      <c r="C153" s="1"/>
      <c r="D153" s="1"/>
      <c r="E153" s="1"/>
      <c r="F153" s="178"/>
      <c r="G153" s="178"/>
      <c r="H153" s="178"/>
      <c r="I153" s="178"/>
      <c r="J153" s="178"/>
      <c r="K153" s="178"/>
      <c r="L153" s="363"/>
      <c r="M153" s="409"/>
      <c r="N153" s="410"/>
      <c r="O153" s="1"/>
      <c r="P153" s="326"/>
      <c r="Q153" s="372">
        <v>45</v>
      </c>
      <c r="R153" s="372">
        <f t="shared" si="3"/>
        <v>4.5</v>
      </c>
      <c r="S153" s="326"/>
      <c r="T153" s="372">
        <f t="shared" si="4"/>
        <v>1.125</v>
      </c>
      <c r="U153" s="372">
        <f t="shared" si="5"/>
        <v>-2</v>
      </c>
      <c r="V153" s="393">
        <f t="shared" si="6"/>
        <v>0.25544966774425276</v>
      </c>
      <c r="W153" s="393">
        <f t="shared" si="7"/>
        <v>1.1589206843337592</v>
      </c>
      <c r="X153" s="326"/>
      <c r="Y153" s="372">
        <f t="shared" si="8"/>
        <v>4.9999999999999822E-2</v>
      </c>
      <c r="Z153" s="372">
        <f t="shared" si="9"/>
        <v>-9.9999999999999978E-2</v>
      </c>
      <c r="AA153" s="393">
        <f t="shared" si="10"/>
        <v>1.9491339399744578E-2</v>
      </c>
      <c r="AB153" s="393">
        <f t="shared" si="11"/>
        <v>9.1695343172035426E-2</v>
      </c>
      <c r="AC153" s="326"/>
      <c r="AD153" s="326"/>
      <c r="AE153" s="393">
        <f t="shared" si="15"/>
        <v>4.9999999999999822</v>
      </c>
      <c r="AF153" s="393">
        <f t="shared" si="15"/>
        <v>-9.9999999999999982</v>
      </c>
      <c r="AG153" s="393">
        <f t="shared" si="13"/>
        <v>0.86378499708573497</v>
      </c>
      <c r="AH153" s="393">
        <f t="shared" si="14"/>
        <v>0.71652281590654898</v>
      </c>
      <c r="AI153" s="393"/>
      <c r="AJ153" s="393"/>
      <c r="AK153" s="393"/>
      <c r="AL153" s="393"/>
      <c r="AM153" s="393"/>
      <c r="AN153" s="394"/>
      <c r="AO153" s="394"/>
      <c r="AP153" s="394"/>
      <c r="AQ153" s="394"/>
      <c r="AR153" s="394"/>
      <c r="AS153" s="394"/>
      <c r="AT153" s="394"/>
      <c r="AU153" s="394"/>
      <c r="AV153" s="394"/>
      <c r="AW153" s="394"/>
      <c r="AX153" s="389"/>
      <c r="AY153" s="389"/>
      <c r="BF153" s="15"/>
      <c r="BG153" s="15"/>
      <c r="BH153" s="15"/>
      <c r="BI153" s="16"/>
      <c r="BJ153" s="16"/>
      <c r="BK153" s="16"/>
      <c r="BL153" s="16"/>
    </row>
    <row r="154" spans="1:64" ht="15" customHeight="1" x14ac:dyDescent="0.25">
      <c r="A154" s="1"/>
      <c r="B154" s="1"/>
      <c r="C154" s="1"/>
      <c r="D154" s="1"/>
      <c r="E154" s="1"/>
      <c r="F154" s="178"/>
      <c r="G154" s="178"/>
      <c r="H154" s="178"/>
      <c r="I154" s="178"/>
      <c r="J154" s="178"/>
      <c r="K154" s="178"/>
      <c r="L154" s="363"/>
      <c r="M154" s="409"/>
      <c r="N154" s="410"/>
      <c r="O154" s="1"/>
      <c r="P154" s="326"/>
      <c r="Q154" s="372">
        <v>46</v>
      </c>
      <c r="R154" s="372">
        <f t="shared" si="3"/>
        <v>4.6000000000000005</v>
      </c>
      <c r="S154" s="326"/>
      <c r="T154" s="372">
        <f t="shared" si="4"/>
        <v>0.91999999999999993</v>
      </c>
      <c r="U154" s="372">
        <f t="shared" si="5"/>
        <v>-2.1000000000000005</v>
      </c>
      <c r="V154" s="393">
        <f t="shared" si="6"/>
        <v>0.20607838441890111</v>
      </c>
      <c r="W154" s="393">
        <f t="shared" si="7"/>
        <v>0.93380043517335742</v>
      </c>
      <c r="X154" s="326"/>
      <c r="Y154" s="372">
        <f t="shared" si="8"/>
        <v>4.0000000000000036E-2</v>
      </c>
      <c r="Z154" s="372">
        <f t="shared" si="9"/>
        <v>-9.9999999999999978E-2</v>
      </c>
      <c r="AA154" s="393">
        <f t="shared" si="10"/>
        <v>1.5646950830140505E-2</v>
      </c>
      <c r="AB154" s="393">
        <f t="shared" si="11"/>
        <v>7.3622345205997947E-2</v>
      </c>
      <c r="AC154" s="326"/>
      <c r="AD154" s="326"/>
      <c r="AE154" s="393">
        <f t="shared" si="15"/>
        <v>4.0000000000000036</v>
      </c>
      <c r="AF154" s="393">
        <f t="shared" si="15"/>
        <v>-9.9999999999999982</v>
      </c>
      <c r="AG154" s="393">
        <f t="shared" si="13"/>
        <v>0.69341573198354278</v>
      </c>
      <c r="AH154" s="393">
        <f t="shared" si="14"/>
        <v>0.5752973736264243</v>
      </c>
      <c r="AI154" s="393"/>
      <c r="AJ154" s="393"/>
      <c r="AK154" s="393"/>
      <c r="AL154" s="393"/>
      <c r="AM154" s="393"/>
      <c r="AN154" s="394"/>
      <c r="AO154" s="394"/>
      <c r="AP154" s="394"/>
      <c r="AQ154" s="394"/>
      <c r="AR154" s="394"/>
      <c r="AS154" s="394"/>
      <c r="AT154" s="394"/>
      <c r="AU154" s="394"/>
      <c r="AV154" s="394"/>
      <c r="AW154" s="394"/>
      <c r="AX154" s="389"/>
      <c r="AY154" s="389"/>
      <c r="BF154" s="15"/>
      <c r="BG154" s="15"/>
      <c r="BH154" s="15"/>
      <c r="BI154" s="16"/>
      <c r="BJ154" s="16"/>
      <c r="BK154" s="16"/>
      <c r="BL154" s="16"/>
    </row>
    <row r="155" spans="1:64" ht="15" customHeight="1" x14ac:dyDescent="0.25">
      <c r="A155" s="1"/>
      <c r="B155" s="1"/>
      <c r="C155" s="1"/>
      <c r="D155" s="1"/>
      <c r="E155" s="1"/>
      <c r="F155" s="178"/>
      <c r="G155" s="178"/>
      <c r="H155" s="178"/>
      <c r="I155" s="178"/>
      <c r="J155" s="178"/>
      <c r="K155" s="178"/>
      <c r="L155" s="363"/>
      <c r="M155" s="409"/>
      <c r="N155" s="410"/>
      <c r="O155" s="1"/>
      <c r="P155" s="326"/>
      <c r="Q155" s="372">
        <v>47</v>
      </c>
      <c r="R155" s="372">
        <f t="shared" si="3"/>
        <v>4.7</v>
      </c>
      <c r="S155" s="326"/>
      <c r="T155" s="372">
        <f t="shared" si="4"/>
        <v>0.70499999999999829</v>
      </c>
      <c r="U155" s="372">
        <f t="shared" si="5"/>
        <v>-2.2000000000000002</v>
      </c>
      <c r="V155" s="393">
        <f t="shared" si="6"/>
        <v>0.15565021851053598</v>
      </c>
      <c r="W155" s="393">
        <f t="shared" si="7"/>
        <v>0.70437264970909452</v>
      </c>
      <c r="X155" s="326"/>
      <c r="Y155" s="372">
        <f t="shared" si="8"/>
        <v>3.0000000000000249E-2</v>
      </c>
      <c r="Z155" s="372">
        <f t="shared" si="9"/>
        <v>-9.9999999999999978E-2</v>
      </c>
      <c r="AA155" s="393">
        <f t="shared" si="10"/>
        <v>1.176664272030652E-2</v>
      </c>
      <c r="AB155" s="393">
        <f t="shared" si="11"/>
        <v>5.5371966794380632E-2</v>
      </c>
      <c r="AC155" s="326"/>
      <c r="AD155" s="326"/>
      <c r="AE155" s="393">
        <f t="shared" si="15"/>
        <v>3.0000000000000249</v>
      </c>
      <c r="AF155" s="393">
        <f t="shared" si="15"/>
        <v>-9.9999999999999982</v>
      </c>
      <c r="AG155" s="393">
        <f t="shared" si="13"/>
        <v>0.52145464400471331</v>
      </c>
      <c r="AH155" s="393">
        <f t="shared" si="14"/>
        <v>0.43268585074550886</v>
      </c>
      <c r="AI155" s="393"/>
      <c r="AJ155" s="393"/>
      <c r="AK155" s="393"/>
      <c r="AL155" s="393"/>
      <c r="AM155" s="393"/>
      <c r="AN155" s="394"/>
      <c r="AO155" s="394"/>
      <c r="AP155" s="394"/>
      <c r="AQ155" s="394"/>
      <c r="AR155" s="394"/>
      <c r="AS155" s="394"/>
      <c r="AT155" s="394"/>
      <c r="AU155" s="394"/>
      <c r="AV155" s="394"/>
      <c r="AW155" s="394"/>
      <c r="AX155" s="389"/>
      <c r="AY155" s="389"/>
      <c r="BF155" s="15"/>
      <c r="BG155" s="15"/>
      <c r="BH155" s="15"/>
      <c r="BI155" s="16"/>
      <c r="BJ155" s="16"/>
      <c r="BK155" s="16"/>
      <c r="BL155" s="16"/>
    </row>
    <row r="156" spans="1:64" ht="15" customHeight="1" x14ac:dyDescent="0.25">
      <c r="A156" s="1"/>
      <c r="B156" s="1"/>
      <c r="C156" s="1"/>
      <c r="D156" s="1"/>
      <c r="E156" s="1"/>
      <c r="F156" s="178"/>
      <c r="G156" s="178"/>
      <c r="H156" s="178"/>
      <c r="I156" s="178"/>
      <c r="J156" s="178"/>
      <c r="K156" s="178"/>
      <c r="L156" s="363"/>
      <c r="M156" s="409"/>
      <c r="N156" s="410"/>
      <c r="O156" s="1"/>
      <c r="P156" s="326"/>
      <c r="Q156" s="372">
        <v>48</v>
      </c>
      <c r="R156" s="372">
        <f t="shared" si="3"/>
        <v>4.8000000000000007</v>
      </c>
      <c r="S156" s="326"/>
      <c r="T156" s="372">
        <f t="shared" si="4"/>
        <v>0.47999999999999865</v>
      </c>
      <c r="U156" s="372">
        <f t="shared" si="5"/>
        <v>-2.3000000000000007</v>
      </c>
      <c r="V156" s="393">
        <f t="shared" si="6"/>
        <v>0.10435823754789228</v>
      </c>
      <c r="W156" s="393">
        <f t="shared" si="7"/>
        <v>0.47159074783595673</v>
      </c>
      <c r="X156" s="326"/>
      <c r="Y156" s="372">
        <f t="shared" si="8"/>
        <v>2.0000000000000462E-2</v>
      </c>
      <c r="Z156" s="372">
        <f t="shared" si="9"/>
        <v>-9.9999999999999978E-2</v>
      </c>
      <c r="AA156" s="393">
        <f t="shared" si="10"/>
        <v>7.85939495530006E-3</v>
      </c>
      <c r="AB156" s="393">
        <f t="shared" si="11"/>
        <v>3.6988553048578267E-2</v>
      </c>
      <c r="AC156" s="326"/>
      <c r="AD156" s="326"/>
      <c r="AE156" s="393">
        <f t="shared" si="15"/>
        <v>2.0000000000000462</v>
      </c>
      <c r="AF156" s="393">
        <f t="shared" si="15"/>
        <v>-9.9999999999999982</v>
      </c>
      <c r="AG156" s="393">
        <f t="shared" si="13"/>
        <v>0.34829968886840407</v>
      </c>
      <c r="AH156" s="393">
        <f t="shared" si="14"/>
        <v>0.28903476741399886</v>
      </c>
      <c r="AI156" s="393"/>
      <c r="AJ156" s="393"/>
      <c r="AK156" s="393"/>
      <c r="AL156" s="393"/>
      <c r="AM156" s="393"/>
      <c r="AN156" s="394"/>
      <c r="AO156" s="394"/>
      <c r="AP156" s="394"/>
      <c r="AQ156" s="394"/>
      <c r="AR156" s="394"/>
      <c r="AS156" s="394"/>
      <c r="AT156" s="394"/>
      <c r="AU156" s="394"/>
      <c r="AV156" s="394"/>
      <c r="AW156" s="394"/>
      <c r="AX156" s="389"/>
      <c r="AY156" s="389"/>
      <c r="BF156" s="15"/>
      <c r="BG156" s="15"/>
      <c r="BH156" s="15"/>
      <c r="BI156" s="16"/>
      <c r="BJ156" s="16"/>
      <c r="BK156" s="16"/>
      <c r="BL156" s="16"/>
    </row>
    <row r="157" spans="1:64" ht="15" customHeight="1" x14ac:dyDescent="0.25">
      <c r="A157" s="1"/>
      <c r="B157" s="1"/>
      <c r="C157" s="1"/>
      <c r="D157" s="1"/>
      <c r="E157" s="1"/>
      <c r="F157" s="178"/>
      <c r="G157" s="178"/>
      <c r="H157" s="178"/>
      <c r="I157" s="178"/>
      <c r="J157" s="178"/>
      <c r="K157" s="178"/>
      <c r="L157" s="363"/>
      <c r="M157" s="409"/>
      <c r="N157" s="410"/>
      <c r="O157" s="1"/>
      <c r="P157" s="326"/>
      <c r="Q157" s="372">
        <v>49</v>
      </c>
      <c r="R157" s="372">
        <f t="shared" si="3"/>
        <v>4.9000000000000004</v>
      </c>
      <c r="S157" s="326"/>
      <c r="T157" s="372">
        <f t="shared" si="4"/>
        <v>0.24499999999999744</v>
      </c>
      <c r="U157" s="372">
        <f t="shared" si="5"/>
        <v>-2.4000000000000004</v>
      </c>
      <c r="V157" s="393">
        <f t="shared" si="6"/>
        <v>5.2404488944763593E-2</v>
      </c>
      <c r="W157" s="393">
        <f t="shared" si="7"/>
        <v>0.23645249456033265</v>
      </c>
      <c r="X157" s="326"/>
      <c r="Y157" s="372">
        <f t="shared" si="8"/>
        <v>9.9999999999997868E-3</v>
      </c>
      <c r="Z157" s="372">
        <f t="shared" si="9"/>
        <v>-9.9999999999999978E-2</v>
      </c>
      <c r="AA157" s="393">
        <f t="shared" si="10"/>
        <v>3.934187420178782E-3</v>
      </c>
      <c r="AB157" s="393">
        <f t="shared" si="11"/>
        <v>1.8516449079986674E-2</v>
      </c>
      <c r="AC157" s="326"/>
      <c r="AD157" s="326"/>
      <c r="AE157" s="393">
        <f t="shared" si="15"/>
        <v>0.99999999999997868</v>
      </c>
      <c r="AF157" s="393">
        <f t="shared" si="15"/>
        <v>-9.9999999999999982</v>
      </c>
      <c r="AG157" s="393">
        <f t="shared" si="13"/>
        <v>0.17434882229378229</v>
      </c>
      <c r="AH157" s="393">
        <f t="shared" si="14"/>
        <v>0.14469064378209878</v>
      </c>
      <c r="AI157" s="393"/>
      <c r="AJ157" s="393"/>
      <c r="AK157" s="393"/>
      <c r="AL157" s="393"/>
      <c r="AM157" s="393"/>
      <c r="AN157" s="394"/>
      <c r="AO157" s="394"/>
      <c r="AP157" s="394"/>
      <c r="AQ157" s="394"/>
      <c r="AR157" s="394"/>
      <c r="AS157" s="394"/>
      <c r="AT157" s="394"/>
      <c r="AU157" s="394"/>
      <c r="AV157" s="394"/>
      <c r="AW157" s="394"/>
      <c r="AX157" s="389"/>
      <c r="AY157" s="389"/>
      <c r="BF157" s="15"/>
      <c r="BG157" s="15"/>
      <c r="BH157" s="15"/>
      <c r="BI157" s="16"/>
      <c r="BJ157" s="16"/>
      <c r="BK157" s="16"/>
      <c r="BL157" s="16"/>
    </row>
    <row r="158" spans="1:64" ht="15" customHeight="1" x14ac:dyDescent="0.25">
      <c r="A158" s="1"/>
      <c r="B158" s="1"/>
      <c r="C158" s="1"/>
      <c r="D158" s="1"/>
      <c r="E158" s="1"/>
      <c r="F158" s="178"/>
      <c r="G158" s="178"/>
      <c r="H158" s="178"/>
      <c r="I158" s="178"/>
      <c r="J158" s="178"/>
      <c r="K158" s="178"/>
      <c r="L158" s="363"/>
      <c r="M158" s="409"/>
      <c r="N158" s="410"/>
      <c r="O158" s="1"/>
      <c r="P158" s="326"/>
      <c r="Q158" s="372">
        <v>50</v>
      </c>
      <c r="R158" s="372">
        <f t="shared" si="3"/>
        <v>5</v>
      </c>
      <c r="S158" s="326"/>
      <c r="T158" s="372">
        <f t="shared" si="4"/>
        <v>0</v>
      </c>
      <c r="U158" s="372">
        <f t="shared" si="5"/>
        <v>-2.5</v>
      </c>
      <c r="V158" s="393">
        <f t="shared" si="6"/>
        <v>-3.1902960477734372E-16</v>
      </c>
      <c r="W158" s="393">
        <f t="shared" si="7"/>
        <v>-1.5754548384066362E-15</v>
      </c>
      <c r="X158" s="326"/>
      <c r="Y158" s="372">
        <f t="shared" si="8"/>
        <v>0</v>
      </c>
      <c r="Z158" s="372">
        <f t="shared" si="9"/>
        <v>-9.9999999999999978E-2</v>
      </c>
      <c r="AA158" s="393">
        <f t="shared" si="10"/>
        <v>5.4210108624275222E-17</v>
      </c>
      <c r="AB158" s="393">
        <f t="shared" si="11"/>
        <v>2.608861477543245E-16</v>
      </c>
      <c r="AC158" s="326"/>
      <c r="AD158" s="326"/>
      <c r="AE158" s="393">
        <f t="shared" si="15"/>
        <v>0</v>
      </c>
      <c r="AF158" s="393">
        <f t="shared" si="15"/>
        <v>-9.9999999999999982</v>
      </c>
      <c r="AG158" s="393">
        <f t="shared" si="13"/>
        <v>2.4023940869169092E-15</v>
      </c>
      <c r="AH158" s="393">
        <f t="shared" si="14"/>
        <v>2.038608186123779E-15</v>
      </c>
      <c r="AI158" s="393"/>
      <c r="AJ158" s="393"/>
      <c r="AK158" s="393"/>
      <c r="AL158" s="393"/>
      <c r="AM158" s="393"/>
      <c r="AN158" s="394"/>
      <c r="AO158" s="394"/>
      <c r="AP158" s="394"/>
      <c r="AQ158" s="394"/>
      <c r="AR158" s="394"/>
      <c r="AS158" s="394"/>
      <c r="AT158" s="394"/>
      <c r="AU158" s="394"/>
      <c r="AV158" s="394"/>
      <c r="AW158" s="394"/>
      <c r="AX158" s="389"/>
      <c r="AY158" s="389"/>
      <c r="BF158" s="15"/>
      <c r="BG158" s="15"/>
      <c r="BH158" s="15"/>
      <c r="BI158" s="16"/>
      <c r="BJ158" s="16"/>
      <c r="BK158" s="16"/>
      <c r="BL158" s="16"/>
    </row>
    <row r="159" spans="1:64" ht="15" customHeight="1" x14ac:dyDescent="0.25">
      <c r="A159" s="1"/>
      <c r="B159" s="1"/>
      <c r="C159" s="1"/>
      <c r="D159" s="1"/>
      <c r="E159" s="1"/>
      <c r="F159" s="178"/>
      <c r="G159" s="178"/>
      <c r="H159" s="178"/>
      <c r="I159" s="178"/>
      <c r="J159" s="178"/>
      <c r="K159" s="178"/>
      <c r="L159" s="363"/>
      <c r="M159" s="409"/>
      <c r="N159" s="410"/>
      <c r="O159" s="1"/>
      <c r="P159" s="326"/>
      <c r="Q159" s="326"/>
      <c r="R159" s="326"/>
      <c r="S159" s="326"/>
      <c r="T159" s="326"/>
      <c r="U159" s="326"/>
      <c r="V159" s="326"/>
      <c r="W159" s="326"/>
      <c r="X159" s="326"/>
      <c r="Y159" s="326"/>
      <c r="Z159" s="326"/>
      <c r="AA159" s="326"/>
      <c r="AB159" s="326"/>
      <c r="AC159" s="326"/>
      <c r="AD159" s="326"/>
      <c r="AE159" s="411"/>
      <c r="AF159" s="326"/>
      <c r="AG159" s="326"/>
      <c r="AH159" s="326"/>
      <c r="AI159" s="326"/>
      <c r="AJ159" s="326"/>
      <c r="AK159" s="326"/>
      <c r="AL159" s="326"/>
      <c r="AM159" s="326"/>
      <c r="AN159" s="388"/>
      <c r="AO159" s="388"/>
      <c r="AP159" s="388"/>
      <c r="AQ159" s="388"/>
      <c r="AR159" s="388"/>
      <c r="AS159" s="388"/>
      <c r="AT159" s="388"/>
      <c r="AU159" s="388"/>
      <c r="AV159" s="388"/>
      <c r="AW159" s="388"/>
      <c r="AX159" s="389"/>
      <c r="AY159" s="389"/>
      <c r="BF159" s="15"/>
      <c r="BG159" s="15"/>
      <c r="BH159" s="15"/>
      <c r="BI159" s="16"/>
      <c r="BJ159" s="16"/>
      <c r="BK159" s="16"/>
      <c r="BL159" s="16"/>
    </row>
    <row r="160" spans="1:64" ht="15" customHeight="1" x14ac:dyDescent="0.25">
      <c r="A160" s="1"/>
      <c r="B160" s="1"/>
      <c r="C160" s="1"/>
      <c r="D160" s="1"/>
      <c r="E160" s="1"/>
      <c r="F160" s="178"/>
      <c r="G160" s="178"/>
      <c r="H160" s="178"/>
      <c r="I160" s="178"/>
      <c r="J160" s="178"/>
      <c r="K160" s="178"/>
      <c r="L160" s="363"/>
      <c r="M160" s="409"/>
      <c r="N160" s="410"/>
      <c r="O160" s="1"/>
      <c r="P160" s="326"/>
      <c r="Q160" s="326"/>
      <c r="R160" s="326"/>
      <c r="S160" s="326"/>
      <c r="T160" s="372">
        <f>MAX(T108:T158)</f>
        <v>3.125</v>
      </c>
      <c r="U160" s="372">
        <f>MAX(U108:U158)</f>
        <v>2.5</v>
      </c>
      <c r="V160" s="372">
        <f>MAX(V108:V158)</f>
        <v>0.80312287974936114</v>
      </c>
      <c r="W160" s="326"/>
      <c r="X160" s="326"/>
      <c r="Y160" s="372">
        <f>MAX(Y108:Y158)</f>
        <v>0.45</v>
      </c>
      <c r="Z160" s="372">
        <f>MAX(Z108:Z158)</f>
        <v>0.9</v>
      </c>
      <c r="AA160" s="386">
        <f>MAX(AA108:AA158)</f>
        <v>7.7661039272030635E-2</v>
      </c>
      <c r="AB160" s="326"/>
      <c r="AC160" s="412" t="s">
        <v>394</v>
      </c>
      <c r="AD160" s="412"/>
      <c r="AE160" s="413">
        <f>MAX(AE108:AE158)</f>
        <v>45</v>
      </c>
      <c r="AF160" s="413">
        <f>MAX(AF108:AF158)</f>
        <v>90</v>
      </c>
      <c r="AG160" s="413">
        <f>MAX(AG108:AG158)</f>
        <v>3.44165371119366</v>
      </c>
      <c r="AH160" s="413">
        <f>MAX(AH108:AH158)</f>
        <v>2.7891568598793635</v>
      </c>
      <c r="AI160" s="413"/>
      <c r="AJ160" s="413"/>
      <c r="AK160" s="413"/>
      <c r="AL160" s="413"/>
      <c r="AM160" s="413"/>
      <c r="AN160" s="414"/>
      <c r="AO160" s="414"/>
      <c r="AP160" s="414"/>
      <c r="AQ160" s="414"/>
      <c r="AR160" s="414"/>
      <c r="AS160" s="414"/>
      <c r="AT160" s="414"/>
      <c r="AU160" s="414"/>
      <c r="AV160" s="414"/>
      <c r="AW160" s="414"/>
      <c r="AX160" s="389"/>
      <c r="AY160" s="389"/>
      <c r="BF160" s="15"/>
      <c r="BG160" s="15"/>
      <c r="BH160" s="15"/>
      <c r="BI160" s="16"/>
      <c r="BJ160" s="16"/>
      <c r="BK160" s="16"/>
      <c r="BL160" s="16"/>
    </row>
    <row r="161" spans="1:64" ht="15" customHeight="1" x14ac:dyDescent="0.25">
      <c r="A161" s="1"/>
      <c r="B161" s="1"/>
      <c r="C161" s="1"/>
      <c r="D161" s="1"/>
      <c r="E161" s="1"/>
      <c r="F161" s="178"/>
      <c r="G161" s="178"/>
      <c r="H161" s="178"/>
      <c r="I161" s="178"/>
      <c r="J161" s="178"/>
      <c r="K161" s="178"/>
      <c r="L161" s="363"/>
      <c r="M161" s="409"/>
      <c r="N161" s="410"/>
      <c r="O161" s="1"/>
      <c r="P161" s="1"/>
      <c r="Q161" s="1"/>
      <c r="R161" s="1"/>
      <c r="S161" s="1"/>
      <c r="T161" s="1"/>
      <c r="U161" s="1"/>
      <c r="V161" s="1"/>
      <c r="W161" s="1"/>
      <c r="X161" s="1"/>
      <c r="Y161" s="1"/>
      <c r="Z161" s="1"/>
      <c r="AA161" s="39"/>
      <c r="AB161" s="39"/>
      <c r="AC161" s="39"/>
      <c r="AD161" s="39"/>
      <c r="AE161" s="39"/>
      <c r="AF161" s="39"/>
      <c r="AG161" s="39"/>
      <c r="AH161" s="39"/>
      <c r="AI161" s="39"/>
      <c r="AJ161" s="39"/>
      <c r="AK161" s="39"/>
      <c r="AL161" s="39"/>
      <c r="AM161" s="39"/>
      <c r="AN161" s="415"/>
      <c r="AO161" s="415"/>
      <c r="AP161" s="415"/>
      <c r="AQ161" s="415"/>
      <c r="AR161" s="415"/>
      <c r="AS161" s="415"/>
      <c r="AT161" s="415"/>
      <c r="AU161" s="415"/>
      <c r="AV161" s="415"/>
      <c r="AW161" s="415"/>
      <c r="AX161" s="389"/>
      <c r="AY161" s="389"/>
      <c r="BF161" s="15"/>
      <c r="BG161" s="15"/>
      <c r="BH161" s="15"/>
      <c r="BI161" s="16"/>
      <c r="BJ161" s="16"/>
      <c r="BK161" s="16"/>
      <c r="BL161" s="16"/>
    </row>
    <row r="162" spans="1:64" ht="15" customHeight="1" x14ac:dyDescent="0.25">
      <c r="A162" s="1"/>
      <c r="B162" s="1"/>
      <c r="C162" s="1"/>
      <c r="D162" s="1"/>
      <c r="E162" s="1"/>
      <c r="F162" s="374"/>
      <c r="G162" s="35"/>
      <c r="H162" s="35"/>
      <c r="I162" s="35"/>
      <c r="J162" s="35"/>
      <c r="K162" s="35"/>
      <c r="L162" s="35"/>
      <c r="M162" s="35"/>
      <c r="N162" s="35"/>
      <c r="O162" s="1"/>
      <c r="P162" s="1"/>
      <c r="Q162" s="1"/>
      <c r="R162" s="1"/>
      <c r="S162" s="1"/>
      <c r="T162" s="1"/>
      <c r="U162" s="1"/>
      <c r="V162" s="1"/>
      <c r="W162" s="1"/>
      <c r="X162" s="1"/>
      <c r="Y162" s="1"/>
      <c r="Z162" s="1"/>
      <c r="AA162" s="39"/>
      <c r="AB162" s="39"/>
      <c r="AC162" s="39"/>
      <c r="AD162" s="39"/>
      <c r="AE162" s="39"/>
      <c r="AF162" s="39"/>
      <c r="AG162" s="39"/>
      <c r="AH162" s="39"/>
      <c r="AI162" s="39"/>
      <c r="AJ162" s="39"/>
      <c r="AK162" s="39"/>
      <c r="AL162" s="39"/>
      <c r="AM162" s="39"/>
      <c r="AN162" s="415"/>
      <c r="AO162" s="415"/>
      <c r="AP162" s="415"/>
      <c r="AQ162" s="415"/>
      <c r="AR162" s="415"/>
      <c r="AS162" s="415"/>
      <c r="AT162" s="415"/>
      <c r="AU162" s="415"/>
      <c r="AV162" s="415"/>
      <c r="AW162" s="415"/>
      <c r="AX162" s="389"/>
      <c r="AY162" s="389"/>
      <c r="BF162" s="15"/>
      <c r="BG162" s="15"/>
      <c r="BH162" s="15"/>
      <c r="BI162" s="16"/>
      <c r="BJ162" s="16"/>
      <c r="BK162" s="16"/>
      <c r="BL162" s="16"/>
    </row>
    <row r="163" spans="1:64" ht="15" customHeight="1" x14ac:dyDescent="0.25">
      <c r="A163" s="1"/>
      <c r="B163" s="1"/>
      <c r="C163" s="1"/>
      <c r="D163" s="1"/>
      <c r="E163" s="1"/>
      <c r="F163" s="374"/>
      <c r="G163" s="35"/>
      <c r="H163" s="35"/>
      <c r="I163" s="35"/>
      <c r="J163" s="35"/>
      <c r="K163" s="35"/>
      <c r="L163" s="35"/>
      <c r="M163" s="115"/>
      <c r="N163" s="293"/>
      <c r="O163" s="1"/>
      <c r="P163" s="1"/>
      <c r="Q163" s="1"/>
      <c r="R163" s="1"/>
      <c r="S163" s="1"/>
      <c r="T163" s="1"/>
      <c r="U163" s="1"/>
      <c r="V163" s="1"/>
      <c r="W163" s="1"/>
      <c r="X163" s="1"/>
      <c r="Y163" s="1"/>
      <c r="Z163" s="1"/>
      <c r="AA163" s="39"/>
      <c r="AB163" s="39"/>
      <c r="AC163" s="39"/>
      <c r="AD163" s="39"/>
      <c r="AE163" s="39"/>
      <c r="AF163" s="39"/>
      <c r="AG163" s="39"/>
      <c r="AH163" s="39"/>
      <c r="AI163" s="39"/>
      <c r="AJ163" s="39"/>
      <c r="AK163" s="39"/>
      <c r="AL163" s="39"/>
      <c r="AM163" s="39"/>
      <c r="AN163" s="415"/>
      <c r="AO163" s="415"/>
      <c r="AP163" s="415"/>
      <c r="AQ163" s="415"/>
      <c r="AR163" s="415"/>
      <c r="AS163" s="415"/>
      <c r="AT163" s="415"/>
      <c r="AU163" s="415"/>
      <c r="AV163" s="415"/>
      <c r="AW163" s="415"/>
      <c r="AX163" s="389"/>
      <c r="AY163" s="389"/>
      <c r="BF163" s="15"/>
      <c r="BG163" s="15"/>
      <c r="BH163" s="15"/>
      <c r="BI163" s="16"/>
      <c r="BJ163" s="16"/>
      <c r="BK163" s="16"/>
      <c r="BL163" s="16"/>
    </row>
    <row r="164" spans="1:64" ht="15" customHeight="1" x14ac:dyDescent="0.25">
      <c r="A164" s="1"/>
      <c r="B164" s="1"/>
      <c r="C164" s="1"/>
      <c r="D164" s="1"/>
      <c r="E164" s="1"/>
      <c r="F164" s="299"/>
      <c r="G164" s="299"/>
      <c r="H164" s="299"/>
      <c r="I164" s="299"/>
      <c r="J164" s="299"/>
      <c r="K164" s="299"/>
      <c r="L164" s="299"/>
      <c r="M164" s="299"/>
      <c r="N164" s="299"/>
      <c r="O164" s="300"/>
      <c r="P164" s="1"/>
      <c r="Q164" s="1"/>
      <c r="R164" s="1"/>
      <c r="S164" s="1"/>
      <c r="T164" s="1"/>
      <c r="U164" s="1"/>
      <c r="V164" s="1"/>
      <c r="W164" s="1"/>
      <c r="X164" s="1"/>
      <c r="Y164" s="1"/>
      <c r="Z164" s="1"/>
      <c r="AA164" s="39"/>
      <c r="AB164" s="39"/>
      <c r="AC164" s="39"/>
      <c r="AD164" s="39"/>
      <c r="AE164" s="39"/>
      <c r="AF164" s="39"/>
      <c r="AG164" s="39"/>
      <c r="AH164" s="39"/>
      <c r="AI164" s="39"/>
      <c r="AJ164" s="39"/>
      <c r="AK164" s="39"/>
      <c r="AL164" s="39"/>
      <c r="AM164" s="39"/>
      <c r="AN164" s="415"/>
      <c r="AO164" s="415"/>
      <c r="AP164" s="415"/>
      <c r="AQ164" s="415"/>
      <c r="AR164" s="415"/>
      <c r="AS164" s="415"/>
      <c r="AT164" s="415"/>
      <c r="AU164" s="415"/>
      <c r="AV164" s="415"/>
      <c r="AW164" s="415"/>
      <c r="AX164" s="389"/>
      <c r="AY164" s="389"/>
      <c r="BF164" s="15"/>
      <c r="BG164" s="15"/>
      <c r="BH164" s="15"/>
      <c r="BI164" s="16"/>
      <c r="BJ164" s="16"/>
      <c r="BK164" s="16"/>
      <c r="BL164" s="16"/>
    </row>
    <row r="165" spans="1:64" ht="15" customHeight="1" x14ac:dyDescent="0.25">
      <c r="A165" s="1"/>
      <c r="B165" s="1"/>
      <c r="C165" s="1"/>
      <c r="D165" s="1"/>
      <c r="E165" s="1"/>
      <c r="F165" s="299"/>
      <c r="G165" s="299"/>
      <c r="H165" s="299"/>
      <c r="I165" s="299"/>
      <c r="J165" s="299"/>
      <c r="K165" s="299"/>
      <c r="L165" s="299"/>
      <c r="M165" s="299"/>
      <c r="N165" s="299"/>
      <c r="O165" s="300"/>
      <c r="P165" s="1"/>
      <c r="Q165" s="1"/>
      <c r="R165" s="1"/>
      <c r="S165" s="1"/>
      <c r="T165" s="1"/>
      <c r="U165" s="1"/>
      <c r="V165" s="1"/>
      <c r="W165" s="1"/>
      <c r="X165" s="1"/>
      <c r="Y165" s="1"/>
      <c r="Z165" s="1"/>
      <c r="AA165" s="39"/>
      <c r="AB165" s="39"/>
      <c r="AC165" s="39"/>
      <c r="AD165" s="39"/>
      <c r="AE165" s="39"/>
      <c r="AF165" s="39"/>
      <c r="AG165" s="39"/>
      <c r="AH165" s="39"/>
      <c r="AI165" s="39"/>
      <c r="AJ165" s="39"/>
      <c r="AK165" s="39"/>
      <c r="AL165" s="39"/>
      <c r="AM165" s="39"/>
      <c r="AN165" s="415"/>
      <c r="AO165" s="415"/>
      <c r="AP165" s="415"/>
      <c r="AQ165" s="415"/>
      <c r="AR165" s="415"/>
      <c r="AS165" s="415"/>
      <c r="AT165" s="415"/>
      <c r="AU165" s="415"/>
      <c r="AV165" s="415"/>
      <c r="AW165" s="415"/>
      <c r="AX165" s="389"/>
      <c r="AY165" s="389"/>
      <c r="BF165" s="15"/>
      <c r="BG165" s="15"/>
      <c r="BH165" s="15"/>
      <c r="BI165" s="16"/>
      <c r="BJ165" s="16"/>
      <c r="BK165" s="16"/>
      <c r="BL165" s="16"/>
    </row>
    <row r="166" spans="1:64" ht="12.75" customHeight="1" x14ac:dyDescent="0.25">
      <c r="A166" s="1"/>
      <c r="B166" s="1"/>
      <c r="C166" s="1"/>
      <c r="D166" s="1"/>
      <c r="E166" s="1"/>
      <c r="F166" s="396" t="s">
        <v>395</v>
      </c>
      <c r="G166" s="397"/>
      <c r="H166" s="397"/>
      <c r="I166" s="397"/>
      <c r="J166" s="416"/>
      <c r="K166" s="417"/>
      <c r="L166" s="417"/>
      <c r="M166" s="417"/>
      <c r="N166" s="416" t="str">
        <f>CONCATENATE("Normativa: ",$G$3," ",HLOOKUP($H$3,Q68:T91,O82,FALSE))</f>
        <v>Normativa: NTC 17/01/2018 + EC5-1-2:2005</v>
      </c>
      <c r="O166" s="418"/>
      <c r="P166" s="1"/>
      <c r="Q166" s="1"/>
      <c r="R166" s="1"/>
      <c r="S166" s="1"/>
      <c r="T166" s="1"/>
      <c r="U166" s="1"/>
      <c r="V166" s="1"/>
      <c r="W166" s="1"/>
      <c r="X166" s="1"/>
      <c r="Y166" s="1"/>
      <c r="Z166" s="1"/>
      <c r="AA166" s="39"/>
      <c r="AB166" s="39"/>
      <c r="AC166" s="39"/>
      <c r="AD166" s="39"/>
      <c r="AE166" s="39"/>
      <c r="AF166" s="39"/>
      <c r="AG166" s="39"/>
      <c r="AH166" s="39"/>
      <c r="AI166" s="39"/>
      <c r="AJ166" s="39"/>
      <c r="AK166" s="39"/>
      <c r="AL166" s="39"/>
      <c r="AM166" s="39"/>
      <c r="AN166" s="415"/>
      <c r="AO166" s="415"/>
      <c r="AP166" s="415"/>
      <c r="AQ166" s="415"/>
      <c r="AR166" s="415"/>
      <c r="AS166" s="415"/>
      <c r="AT166" s="415"/>
      <c r="AU166" s="415"/>
      <c r="AV166" s="415"/>
      <c r="AW166" s="415"/>
      <c r="AX166" s="389"/>
      <c r="AY166" s="389"/>
      <c r="BF166" s="15"/>
      <c r="BG166" s="15"/>
      <c r="BH166" s="15"/>
      <c r="BI166" s="16"/>
      <c r="BJ166" s="16"/>
      <c r="BK166" s="16"/>
      <c r="BL166" s="16"/>
    </row>
    <row r="167" spans="1:64" ht="15" customHeight="1" x14ac:dyDescent="0.25">
      <c r="A167" s="1"/>
      <c r="B167" s="1"/>
      <c r="C167" s="1"/>
      <c r="D167" s="1"/>
      <c r="E167" s="1"/>
      <c r="F167" s="146" t="s">
        <v>396</v>
      </c>
      <c r="G167" s="401"/>
      <c r="H167" s="401"/>
      <c r="I167" s="419"/>
      <c r="J167" s="35"/>
      <c r="K167" s="35"/>
      <c r="L167" s="35"/>
      <c r="M167" s="35"/>
      <c r="N167" s="35"/>
      <c r="O167" s="1"/>
      <c r="P167" s="1"/>
      <c r="Q167" s="1"/>
      <c r="R167" s="1"/>
      <c r="S167" s="1"/>
      <c r="T167" s="1"/>
      <c r="U167" s="1"/>
      <c r="V167" s="1"/>
      <c r="W167" s="1"/>
      <c r="X167" s="1"/>
      <c r="Y167" s="1"/>
      <c r="Z167" s="1"/>
      <c r="AA167" s="39"/>
      <c r="AB167" s="39"/>
      <c r="AC167" s="39"/>
      <c r="AD167" s="39"/>
      <c r="AE167" s="39"/>
      <c r="AF167" s="39"/>
      <c r="AG167" s="39"/>
      <c r="AH167" s="39"/>
      <c r="AI167" s="39"/>
      <c r="AJ167" s="39"/>
      <c r="AK167" s="39"/>
      <c r="AL167" s="39"/>
      <c r="AM167" s="39"/>
      <c r="AN167" s="415"/>
      <c r="AO167" s="415"/>
      <c r="AP167" s="415"/>
      <c r="AQ167" s="415"/>
      <c r="AR167" s="415"/>
      <c r="AS167" s="415"/>
      <c r="AT167" s="415"/>
      <c r="AU167" s="415"/>
      <c r="AV167" s="415"/>
      <c r="AW167" s="415"/>
      <c r="AX167" s="389"/>
      <c r="AY167" s="389"/>
      <c r="BF167" s="15"/>
      <c r="BG167" s="15"/>
      <c r="BH167" s="15"/>
      <c r="BI167" s="16"/>
      <c r="BJ167" s="16"/>
      <c r="BK167" s="16"/>
      <c r="BL167" s="16"/>
    </row>
    <row r="168" spans="1:64" ht="15" customHeight="1" x14ac:dyDescent="0.25">
      <c r="A168" s="1"/>
      <c r="B168" s="1"/>
      <c r="C168" s="1"/>
      <c r="D168" s="1"/>
      <c r="E168" s="1"/>
      <c r="F168" s="75" t="s">
        <v>22</v>
      </c>
      <c r="G168" s="210">
        <f>H8</f>
        <v>160</v>
      </c>
      <c r="H168" s="357" t="s">
        <v>23</v>
      </c>
      <c r="I168" s="33"/>
      <c r="J168" s="420" t="s">
        <v>397</v>
      </c>
      <c r="K168" s="421"/>
      <c r="L168" s="421"/>
      <c r="M168" s="422" t="s">
        <v>398</v>
      </c>
      <c r="N168" s="423">
        <f>I27</f>
        <v>15</v>
      </c>
      <c r="O168" s="1"/>
      <c r="P168" s="1"/>
      <c r="Q168" s="1"/>
      <c r="R168" s="1"/>
      <c r="S168" s="1"/>
      <c r="T168" s="1"/>
      <c r="U168" s="1"/>
      <c r="V168" s="1"/>
      <c r="W168" s="1"/>
      <c r="X168" s="1"/>
      <c r="Y168" s="1"/>
      <c r="Z168" s="1"/>
      <c r="AA168" s="39"/>
      <c r="AB168" s="39"/>
      <c r="AC168" s="39"/>
      <c r="AD168" s="39"/>
      <c r="AE168" s="39"/>
      <c r="AF168" s="39"/>
      <c r="AG168" s="39"/>
      <c r="AH168" s="39"/>
      <c r="AI168" s="39"/>
      <c r="AJ168" s="39"/>
      <c r="AK168" s="39"/>
      <c r="AL168" s="39"/>
      <c r="AM168" s="39"/>
      <c r="AN168" s="1"/>
      <c r="AO168" s="1"/>
      <c r="AP168" s="1"/>
      <c r="AQ168" s="1"/>
      <c r="AR168" s="1"/>
      <c r="AS168" s="1"/>
      <c r="AT168" s="1"/>
      <c r="AU168" s="1"/>
      <c r="AV168" s="1"/>
      <c r="AW168" s="1"/>
      <c r="BF168" s="15"/>
      <c r="BG168" s="15"/>
      <c r="BH168" s="15"/>
      <c r="BI168" s="16"/>
      <c r="BJ168" s="16"/>
      <c r="BK168" s="16"/>
      <c r="BL168" s="16"/>
    </row>
    <row r="169" spans="1:64" ht="15" customHeight="1" x14ac:dyDescent="0.25">
      <c r="A169" s="1"/>
      <c r="B169" s="1"/>
      <c r="C169" s="1"/>
      <c r="D169" s="1"/>
      <c r="E169" s="1"/>
      <c r="F169" s="178" t="s">
        <v>31</v>
      </c>
      <c r="G169" s="210">
        <f>H9</f>
        <v>120</v>
      </c>
      <c r="H169" s="357" t="s">
        <v>23</v>
      </c>
      <c r="I169" s="33"/>
      <c r="J169" s="146"/>
      <c r="K169" s="33"/>
      <c r="L169" s="33"/>
      <c r="M169" s="401"/>
      <c r="N169" s="40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BF169" s="15"/>
      <c r="BG169" s="15"/>
      <c r="BH169" s="15"/>
      <c r="BI169" s="16"/>
      <c r="BJ169" s="16"/>
      <c r="BK169" s="16"/>
      <c r="BL169" s="16"/>
    </row>
    <row r="170" spans="1:64" ht="15" customHeight="1" x14ac:dyDescent="0.25">
      <c r="A170" s="1"/>
      <c r="B170" s="1"/>
      <c r="C170" s="1" t="str">
        <f>IF(OR(LEFT(H5)="C",LEFT(H5)="D"),P25,IF(LEFT(H5)="G",P27,IF(LEFT(H5)="O",P28,P29)))</f>
        <v>LEGNO LAMELLARE</v>
      </c>
      <c r="D170" s="1"/>
      <c r="E170" s="1"/>
      <c r="F170" s="146" t="s">
        <v>399</v>
      </c>
      <c r="G170" s="33"/>
      <c r="H170" s="33"/>
      <c r="I170" s="33"/>
      <c r="J170" s="424" t="str">
        <f>CONCATENATE(C170,C171)</f>
        <v>LEGNO LAMELLARE GL24h</v>
      </c>
      <c r="K170" s="229"/>
      <c r="L170" s="229"/>
      <c r="M170" s="229"/>
      <c r="N170" s="230"/>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BF170" s="15"/>
      <c r="BG170" s="15"/>
      <c r="BH170" s="15"/>
      <c r="BI170" s="16"/>
      <c r="BJ170" s="16"/>
      <c r="BK170" s="16"/>
      <c r="BL170" s="16"/>
    </row>
    <row r="171" spans="1:64" ht="15" customHeight="1" x14ac:dyDescent="0.25">
      <c r="A171" s="1"/>
      <c r="B171" s="1"/>
      <c r="C171" s="1" t="str">
        <f>" "&amp;H5</f>
        <v xml:space="preserve"> GL24h</v>
      </c>
      <c r="D171" s="1"/>
      <c r="E171" s="1"/>
      <c r="F171" s="321" t="s">
        <v>400</v>
      </c>
      <c r="G171" s="178"/>
      <c r="H171" s="403">
        <f>VLOOKUP(LEFT(H5),R25:X29,5,FALSE)</f>
        <v>0.7</v>
      </c>
      <c r="I171" s="75" t="s">
        <v>401</v>
      </c>
      <c r="J171" s="425" t="s">
        <v>402</v>
      </c>
      <c r="K171" s="426"/>
      <c r="L171" s="426"/>
      <c r="M171" s="426"/>
      <c r="N171" s="427"/>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BF171" s="15"/>
      <c r="BG171" s="15"/>
      <c r="BH171" s="15"/>
      <c r="BI171" s="16"/>
      <c r="BJ171" s="16"/>
      <c r="BK171" s="16"/>
      <c r="BL171" s="16"/>
    </row>
    <row r="172" spans="1:64" ht="15" customHeight="1" x14ac:dyDescent="0.25">
      <c r="A172" s="1"/>
      <c r="B172" s="1"/>
      <c r="C172" s="1"/>
      <c r="D172" s="1"/>
      <c r="E172" s="1"/>
      <c r="F172" s="178" t="s">
        <v>403</v>
      </c>
      <c r="G172" s="178"/>
      <c r="H172" s="428">
        <f>N168</f>
        <v>15</v>
      </c>
      <c r="I172" s="75" t="s">
        <v>404</v>
      </c>
      <c r="J172" s="429" t="s">
        <v>405</v>
      </c>
      <c r="K172" s="430"/>
      <c r="L172" s="76" t="s">
        <v>406</v>
      </c>
      <c r="M172" s="87">
        <f>$N$184*M9</f>
        <v>11040</v>
      </c>
      <c r="N172" s="431" t="s">
        <v>26</v>
      </c>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BF172" s="15"/>
      <c r="BG172" s="15"/>
      <c r="BH172" s="15"/>
      <c r="BI172" s="16"/>
      <c r="BJ172" s="16"/>
      <c r="BK172" s="16"/>
      <c r="BL172" s="16"/>
    </row>
    <row r="173" spans="1:64" ht="15" customHeight="1" x14ac:dyDescent="0.25">
      <c r="A173" s="1"/>
      <c r="B173" s="1"/>
      <c r="C173" s="1"/>
      <c r="D173" s="1"/>
      <c r="E173" s="1"/>
      <c r="F173" s="178" t="s">
        <v>407</v>
      </c>
      <c r="G173" s="178"/>
      <c r="H173" s="428">
        <f>H171*H172</f>
        <v>10.5</v>
      </c>
      <c r="I173" s="75" t="s">
        <v>23</v>
      </c>
      <c r="J173" s="429" t="s">
        <v>408</v>
      </c>
      <c r="K173" s="430"/>
      <c r="L173" s="76" t="s">
        <v>409</v>
      </c>
      <c r="M173" s="87">
        <f>$N$184*M10</f>
        <v>345</v>
      </c>
      <c r="N173" s="431" t="s">
        <v>26</v>
      </c>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BF173" s="15"/>
      <c r="BG173" s="15"/>
      <c r="BH173" s="15"/>
      <c r="BI173" s="16"/>
      <c r="BJ173" s="16"/>
      <c r="BK173" s="16"/>
      <c r="BL173" s="16"/>
    </row>
    <row r="174" spans="1:64" ht="15" customHeight="1" x14ac:dyDescent="0.25">
      <c r="A174" s="1"/>
      <c r="B174" s="1"/>
      <c r="C174" s="1"/>
      <c r="D174" s="1"/>
      <c r="E174" s="1"/>
      <c r="F174" s="178" t="s">
        <v>410</v>
      </c>
      <c r="G174" s="178"/>
      <c r="H174" s="149">
        <f>IF(H172&lt;20,H172/20,1)</f>
        <v>0.75</v>
      </c>
      <c r="I174" s="75"/>
      <c r="J174" s="429" t="s">
        <v>411</v>
      </c>
      <c r="K174" s="430"/>
      <c r="L174" s="76" t="s">
        <v>412</v>
      </c>
      <c r="M174" s="87">
        <f>$N$184*M11</f>
        <v>747.49999999999989</v>
      </c>
      <c r="N174" s="432" t="s">
        <v>26</v>
      </c>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BF174" s="15"/>
      <c r="BG174" s="15"/>
      <c r="BH174" s="15"/>
      <c r="BI174" s="16"/>
      <c r="BJ174" s="16"/>
      <c r="BK174" s="16"/>
      <c r="BL174" s="16"/>
    </row>
    <row r="175" spans="1:64" ht="15" customHeight="1" x14ac:dyDescent="0.25">
      <c r="A175" s="1"/>
      <c r="B175" s="1"/>
      <c r="C175" s="1"/>
      <c r="D175" s="1"/>
      <c r="E175" s="1"/>
      <c r="F175" s="178" t="s">
        <v>413</v>
      </c>
      <c r="G175" s="178"/>
      <c r="H175" s="428">
        <v>7</v>
      </c>
      <c r="I175" s="75" t="s">
        <v>23</v>
      </c>
      <c r="J175" s="433" t="s">
        <v>414</v>
      </c>
      <c r="K175" s="434"/>
      <c r="L175" s="434"/>
      <c r="M175" s="434"/>
      <c r="N175" s="435"/>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BF175" s="15"/>
      <c r="BG175" s="15"/>
      <c r="BH175" s="15"/>
      <c r="BI175" s="16"/>
      <c r="BJ175" s="16"/>
      <c r="BK175" s="16"/>
      <c r="BL175" s="16"/>
    </row>
    <row r="176" spans="1:64" ht="15" customHeight="1" x14ac:dyDescent="0.25">
      <c r="A176" s="1"/>
      <c r="B176" s="1"/>
      <c r="C176" s="1"/>
      <c r="D176" s="1"/>
      <c r="E176" s="1"/>
      <c r="F176" s="178" t="s">
        <v>415</v>
      </c>
      <c r="G176" s="178"/>
      <c r="H176" s="428">
        <f>H173+H174*H175</f>
        <v>15.75</v>
      </c>
      <c r="I176" s="75" t="s">
        <v>23</v>
      </c>
      <c r="J176" s="436" t="s">
        <v>72</v>
      </c>
      <c r="K176" s="437"/>
      <c r="L176" s="76" t="s">
        <v>416</v>
      </c>
      <c r="M176" s="115">
        <f t="shared" ref="M176:M181" si="16">$N$184*M13</f>
        <v>27.599999999999998</v>
      </c>
      <c r="N176" s="432" t="s">
        <v>26</v>
      </c>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BF176" s="15"/>
      <c r="BG176" s="15"/>
      <c r="BH176" s="15"/>
      <c r="BI176" s="16"/>
      <c r="BJ176" s="16"/>
      <c r="BK176" s="16"/>
      <c r="BL176" s="16"/>
    </row>
    <row r="177" spans="1:64" ht="15" customHeight="1" x14ac:dyDescent="0.25">
      <c r="A177" s="1"/>
      <c r="B177" s="1"/>
      <c r="C177" s="1"/>
      <c r="D177" s="1"/>
      <c r="E177" s="1"/>
      <c r="F177" s="146" t="s">
        <v>417</v>
      </c>
      <c r="G177" s="33"/>
      <c r="H177" s="33"/>
      <c r="I177" s="438"/>
      <c r="J177" s="436" t="s">
        <v>75</v>
      </c>
      <c r="K177" s="437"/>
      <c r="L177" s="76" t="s">
        <v>418</v>
      </c>
      <c r="M177" s="115">
        <f t="shared" si="16"/>
        <v>22.08</v>
      </c>
      <c r="N177" s="431" t="s">
        <v>26</v>
      </c>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BF177" s="15"/>
      <c r="BG177" s="15"/>
      <c r="BH177" s="15"/>
      <c r="BI177" s="16"/>
      <c r="BJ177" s="16"/>
      <c r="BK177" s="16"/>
      <c r="BL177" s="16"/>
    </row>
    <row r="178" spans="1:64" ht="15" customHeight="1" x14ac:dyDescent="0.25">
      <c r="A178" s="1"/>
      <c r="B178" s="1"/>
      <c r="C178" s="1"/>
      <c r="D178" s="1"/>
      <c r="E178" s="1"/>
      <c r="F178" s="236" t="s">
        <v>419</v>
      </c>
      <c r="G178" s="169"/>
      <c r="H178" s="439">
        <v>2</v>
      </c>
      <c r="I178" s="440" t="str">
        <f>IF(H178=0,"",IF(H178=1,"",IF(H178=2,"","NO!")))</f>
        <v/>
      </c>
      <c r="J178" s="436" t="s">
        <v>79</v>
      </c>
      <c r="K178" s="437"/>
      <c r="L178" s="76" t="s">
        <v>420</v>
      </c>
      <c r="M178" s="115">
        <f t="shared" si="16"/>
        <v>0.57499999999999996</v>
      </c>
      <c r="N178" s="432" t="s">
        <v>26</v>
      </c>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BF178" s="15"/>
      <c r="BG178" s="15"/>
      <c r="BH178" s="15"/>
      <c r="BI178" s="16"/>
      <c r="BJ178" s="16"/>
      <c r="BK178" s="16"/>
      <c r="BL178" s="16"/>
    </row>
    <row r="179" spans="1:64" ht="15" customHeight="1" x14ac:dyDescent="0.25">
      <c r="A179" s="1"/>
      <c r="B179" s="1"/>
      <c r="C179" s="1"/>
      <c r="D179" s="1"/>
      <c r="E179" s="1"/>
      <c r="F179" s="441" t="s">
        <v>421</v>
      </c>
      <c r="G179" s="158">
        <f>H178</f>
        <v>2</v>
      </c>
      <c r="H179" s="442" t="s">
        <v>422</v>
      </c>
      <c r="I179" s="35"/>
      <c r="J179" s="436" t="s">
        <v>82</v>
      </c>
      <c r="K179" s="437"/>
      <c r="L179" s="76" t="s">
        <v>423</v>
      </c>
      <c r="M179" s="115">
        <f t="shared" si="16"/>
        <v>27.599999999999998</v>
      </c>
      <c r="N179" s="432" t="s">
        <v>26</v>
      </c>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BF179" s="15"/>
      <c r="BG179" s="15"/>
      <c r="BH179" s="15"/>
      <c r="BI179" s="16"/>
      <c r="BJ179" s="16"/>
      <c r="BK179" s="16"/>
      <c r="BL179" s="16"/>
    </row>
    <row r="180" spans="1:64" ht="15" customHeight="1" x14ac:dyDescent="0.25">
      <c r="A180" s="1"/>
      <c r="B180" s="1"/>
      <c r="C180" s="1"/>
      <c r="D180" s="1"/>
      <c r="E180" s="1"/>
      <c r="F180" s="131" t="s">
        <v>424</v>
      </c>
      <c r="G180" s="33"/>
      <c r="H180" s="443">
        <v>1</v>
      </c>
      <c r="I180" s="440" t="str">
        <f>IF(H180=0,"",IF(H180=1,"",IF(H180=2,"","NO!")))</f>
        <v/>
      </c>
      <c r="J180" s="436" t="s">
        <v>85</v>
      </c>
      <c r="K180" s="437"/>
      <c r="L180" s="76" t="s">
        <v>425</v>
      </c>
      <c r="M180" s="115">
        <f t="shared" si="16"/>
        <v>2.875</v>
      </c>
      <c r="N180" s="431" t="s">
        <v>26</v>
      </c>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BF180" s="15"/>
      <c r="BG180" s="15"/>
      <c r="BH180" s="15"/>
      <c r="BI180" s="16"/>
      <c r="BJ180" s="16"/>
      <c r="BK180" s="16"/>
      <c r="BL180" s="16"/>
    </row>
    <row r="181" spans="1:64" ht="15" customHeight="1" x14ac:dyDescent="0.25">
      <c r="A181" s="1"/>
      <c r="B181" s="1"/>
      <c r="C181" s="1"/>
      <c r="D181" s="1"/>
      <c r="E181" s="1"/>
      <c r="F181" s="441" t="s">
        <v>426</v>
      </c>
      <c r="G181" s="158">
        <f>H180</f>
        <v>1</v>
      </c>
      <c r="H181" s="442" t="s">
        <v>422</v>
      </c>
      <c r="I181" s="35"/>
      <c r="J181" s="436" t="s">
        <v>98</v>
      </c>
      <c r="K181" s="437"/>
      <c r="L181" s="76" t="s">
        <v>427</v>
      </c>
      <c r="M181" s="115">
        <f t="shared" si="16"/>
        <v>4.0249999999999995</v>
      </c>
      <c r="N181" s="432" t="s">
        <v>26</v>
      </c>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BF181" s="15"/>
      <c r="BG181" s="15"/>
      <c r="BH181" s="15"/>
      <c r="BI181" s="16"/>
      <c r="BJ181" s="16"/>
      <c r="BK181" s="16"/>
      <c r="BL181" s="16"/>
    </row>
    <row r="182" spans="1:64" ht="15" customHeight="1" x14ac:dyDescent="0.25">
      <c r="A182" s="1"/>
      <c r="B182" s="1"/>
      <c r="C182" s="1"/>
      <c r="D182" s="1"/>
      <c r="E182" s="1"/>
      <c r="F182" s="35"/>
      <c r="G182" s="35"/>
      <c r="H182" s="35"/>
      <c r="I182" s="35"/>
      <c r="J182" s="124" t="s">
        <v>428</v>
      </c>
      <c r="K182" s="374"/>
      <c r="L182" s="374"/>
      <c r="M182" s="374"/>
      <c r="N182" s="43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BF182" s="15"/>
      <c r="BG182" s="15"/>
      <c r="BH182" s="15"/>
      <c r="BI182" s="16"/>
      <c r="BJ182" s="16"/>
      <c r="BK182" s="16"/>
      <c r="BL182" s="16"/>
    </row>
    <row r="183" spans="1:64" ht="15" customHeight="1" x14ac:dyDescent="0.25">
      <c r="A183" s="1"/>
      <c r="B183" s="1"/>
      <c r="C183" s="1"/>
      <c r="D183" s="1"/>
      <c r="E183" s="1"/>
      <c r="F183" s="146" t="s">
        <v>429</v>
      </c>
      <c r="G183" s="35"/>
      <c r="H183" s="35"/>
      <c r="I183" s="35"/>
      <c r="J183" s="74" t="s">
        <v>430</v>
      </c>
      <c r="K183" s="444">
        <v>1</v>
      </c>
      <c r="L183" s="445"/>
      <c r="M183" s="374"/>
      <c r="N183" s="43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BF183" s="15"/>
      <c r="BG183" s="15"/>
      <c r="BH183" s="15"/>
      <c r="BI183" s="16"/>
      <c r="BJ183" s="16"/>
      <c r="BK183" s="16"/>
      <c r="BL183" s="16"/>
    </row>
    <row r="184" spans="1:64" ht="15" customHeight="1" x14ac:dyDescent="0.35">
      <c r="A184" s="1"/>
      <c r="B184" s="1"/>
      <c r="C184" s="1"/>
      <c r="D184" s="1"/>
      <c r="E184" s="1"/>
      <c r="F184" s="374" t="s">
        <v>431</v>
      </c>
      <c r="G184" s="374"/>
      <c r="H184" s="371">
        <f>MAX(G168-H178*H176,0)</f>
        <v>128.5</v>
      </c>
      <c r="I184" s="357" t="s">
        <v>23</v>
      </c>
      <c r="J184" s="74" t="s">
        <v>432</v>
      </c>
      <c r="K184" s="444">
        <f>VLOOKUP(LEFT(H5),R25:X29,6,FALSE)</f>
        <v>1.1499999999999999</v>
      </c>
      <c r="L184" s="446" t="s">
        <v>433</v>
      </c>
      <c r="M184" s="446"/>
      <c r="N184" s="447">
        <f>K183*K184/K185</f>
        <v>1.1499999999999999</v>
      </c>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BF184" s="15"/>
      <c r="BG184" s="15"/>
      <c r="BH184" s="15"/>
      <c r="BI184" s="16"/>
      <c r="BJ184" s="16"/>
      <c r="BK184" s="16"/>
      <c r="BL184" s="16"/>
    </row>
    <row r="185" spans="1:64" ht="15" customHeight="1" x14ac:dyDescent="0.35">
      <c r="A185" s="1"/>
      <c r="B185" s="1"/>
      <c r="C185" s="1"/>
      <c r="D185" s="1"/>
      <c r="E185" s="1"/>
      <c r="F185" s="374" t="s">
        <v>434</v>
      </c>
      <c r="G185" s="374"/>
      <c r="H185" s="371">
        <f>MAX(G169-H180*H176,0)</f>
        <v>104.25</v>
      </c>
      <c r="I185" s="357" t="s">
        <v>23</v>
      </c>
      <c r="J185" s="448" t="s">
        <v>435</v>
      </c>
      <c r="K185" s="449">
        <v>1</v>
      </c>
      <c r="L185" s="450"/>
      <c r="M185" s="451"/>
      <c r="N185" s="452"/>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BF185" s="15"/>
      <c r="BG185" s="15"/>
      <c r="BH185" s="15"/>
      <c r="BI185" s="16"/>
      <c r="BJ185" s="16"/>
      <c r="BK185" s="16"/>
      <c r="BL185" s="16"/>
    </row>
    <row r="186" spans="1:64" ht="15" customHeight="1" x14ac:dyDescent="0.35">
      <c r="A186" s="1"/>
      <c r="B186" s="1"/>
      <c r="C186" s="1"/>
      <c r="D186" s="1"/>
      <c r="E186" s="1"/>
      <c r="F186" s="374" t="s">
        <v>436</v>
      </c>
      <c r="G186" s="374"/>
      <c r="H186" s="374">
        <f>H184*G30</f>
        <v>91.785714285714292</v>
      </c>
      <c r="I186" s="178" t="s">
        <v>23</v>
      </c>
      <c r="J186" s="178"/>
      <c r="K186" s="374"/>
      <c r="L186" s="453" t="str">
        <f>IF(H180=0,"",IF(H180=1,"","fuoco"))</f>
        <v/>
      </c>
      <c r="M186" s="374"/>
      <c r="N186" s="374"/>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BF186" s="15"/>
      <c r="BG186" s="15"/>
      <c r="BH186" s="15"/>
      <c r="BI186" s="16"/>
      <c r="BJ186" s="16"/>
      <c r="BK186" s="16"/>
      <c r="BL186" s="16"/>
    </row>
    <row r="187" spans="1:64" ht="15" customHeight="1" x14ac:dyDescent="0.35">
      <c r="A187" s="1"/>
      <c r="B187" s="1"/>
      <c r="C187" s="1"/>
      <c r="D187" s="1"/>
      <c r="E187" s="1"/>
      <c r="F187" s="374" t="s">
        <v>437</v>
      </c>
      <c r="G187" s="374"/>
      <c r="H187" s="210">
        <f>H184*H185</f>
        <v>13396.125</v>
      </c>
      <c r="I187" s="357" t="s">
        <v>148</v>
      </c>
      <c r="J187" s="35"/>
      <c r="K187" s="374"/>
      <c r="L187" s="453"/>
      <c r="M187" s="374"/>
      <c r="N187" s="374"/>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BF187" s="15"/>
      <c r="BG187" s="15"/>
      <c r="BH187" s="15"/>
      <c r="BI187" s="16"/>
      <c r="BJ187" s="16"/>
      <c r="BK187" s="16"/>
      <c r="BL187" s="16"/>
    </row>
    <row r="188" spans="1:64" ht="15" customHeight="1" x14ac:dyDescent="0.35">
      <c r="A188" s="1"/>
      <c r="B188" s="1"/>
      <c r="C188" s="1"/>
      <c r="D188" s="1"/>
      <c r="E188" s="1"/>
      <c r="F188" s="374" t="s">
        <v>438</v>
      </c>
      <c r="G188" s="454">
        <f>H184*(H185^3)/12</f>
        <v>12132493.646484375</v>
      </c>
      <c r="H188" s="454"/>
      <c r="I188" s="357" t="s">
        <v>151</v>
      </c>
      <c r="J188" s="35"/>
      <c r="K188" s="374"/>
      <c r="L188" s="453"/>
      <c r="M188" s="374"/>
      <c r="N188" s="374"/>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BF188" s="15"/>
      <c r="BG188" s="15"/>
      <c r="BH188" s="15"/>
      <c r="BI188" s="16"/>
      <c r="BJ188" s="16"/>
      <c r="BK188" s="16"/>
      <c r="BL188" s="16"/>
    </row>
    <row r="189" spans="1:64" ht="15" customHeight="1" x14ac:dyDescent="0.35">
      <c r="A189" s="1"/>
      <c r="B189" s="1"/>
      <c r="C189" s="1"/>
      <c r="D189" s="1"/>
      <c r="E189" s="1"/>
      <c r="F189" s="374" t="s">
        <v>439</v>
      </c>
      <c r="G189" s="455">
        <f>H184*(H185^2)/6</f>
        <v>232757.671875</v>
      </c>
      <c r="H189" s="455"/>
      <c r="I189" s="357" t="s">
        <v>159</v>
      </c>
      <c r="J189" s="35"/>
      <c r="K189" s="374"/>
      <c r="L189" s="35"/>
      <c r="M189" s="374"/>
      <c r="N189" s="374"/>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BF189" s="15"/>
      <c r="BG189" s="15"/>
      <c r="BH189" s="15"/>
      <c r="BI189" s="16"/>
      <c r="BJ189" s="16"/>
      <c r="BK189" s="16"/>
      <c r="BL189" s="16"/>
    </row>
    <row r="190" spans="1:64" ht="15" customHeight="1" x14ac:dyDescent="0.25">
      <c r="A190" s="1"/>
      <c r="B190" s="1"/>
      <c r="C190" s="300"/>
      <c r="D190" s="456"/>
      <c r="E190" s="457"/>
      <c r="F190" s="69" t="s">
        <v>440</v>
      </c>
      <c r="G190" s="35"/>
      <c r="H190" s="458" t="s">
        <v>441</v>
      </c>
      <c r="I190" s="331">
        <f>INDEX(W50:W63,E22)</f>
        <v>0.2</v>
      </c>
      <c r="J190" s="459"/>
      <c r="K190" s="35"/>
      <c r="L190" s="374"/>
      <c r="M190" s="374"/>
      <c r="N190" s="374"/>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BF190" s="15"/>
      <c r="BG190" s="15"/>
      <c r="BH190" s="15"/>
      <c r="BI190" s="16"/>
      <c r="BJ190" s="16"/>
      <c r="BK190" s="16"/>
      <c r="BL190" s="16"/>
    </row>
    <row r="191" spans="1:64" ht="15" customHeight="1" x14ac:dyDescent="0.25">
      <c r="A191" s="1"/>
      <c r="B191" s="1"/>
      <c r="C191" s="457"/>
      <c r="D191" s="1"/>
      <c r="E191" s="457"/>
      <c r="F191" s="460" t="s">
        <v>442</v>
      </c>
      <c r="G191" s="460"/>
      <c r="H191" s="461" t="s">
        <v>443</v>
      </c>
      <c r="I191" s="331">
        <f>1*M21+1*M22+I190*M23</f>
        <v>9.6000000000000002E-2</v>
      </c>
      <c r="J191" s="328" t="s">
        <v>69</v>
      </c>
      <c r="K191" s="35"/>
      <c r="L191" s="115"/>
      <c r="M191" s="374"/>
      <c r="N191" s="374"/>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BF191" s="15"/>
      <c r="BG191" s="15"/>
      <c r="BH191" s="15"/>
      <c r="BI191" s="16"/>
      <c r="BJ191" s="16"/>
      <c r="BK191" s="16"/>
      <c r="BL191" s="16"/>
    </row>
    <row r="192" spans="1:64" ht="15" customHeight="1" x14ac:dyDescent="0.25">
      <c r="A192" s="1"/>
      <c r="B192" s="1"/>
      <c r="C192" s="1"/>
      <c r="D192" s="1"/>
      <c r="E192" s="457"/>
      <c r="F192" s="460"/>
      <c r="G192" s="460"/>
      <c r="H192" s="461" t="s">
        <v>444</v>
      </c>
      <c r="I192" s="331">
        <f>1*H19+1*H20+I190*H21</f>
        <v>0</v>
      </c>
      <c r="J192" s="328" t="s">
        <v>92</v>
      </c>
      <c r="K192" s="462" t="str">
        <f>IF(H178=0,"","fuoco")</f>
        <v>fuoco</v>
      </c>
      <c r="L192" s="374"/>
      <c r="M192" s="374"/>
      <c r="N192" s="463" t="str">
        <f>IF(H178=0,"",IF(H178=1,"","fuoco"))</f>
        <v>fuoco</v>
      </c>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BF192" s="15"/>
      <c r="BG192" s="15"/>
      <c r="BH192" s="15"/>
      <c r="BI192" s="16"/>
      <c r="BJ192" s="16"/>
      <c r="BK192" s="16"/>
      <c r="BL192" s="16"/>
    </row>
    <row r="193" spans="1:64" ht="15" customHeight="1" x14ac:dyDescent="0.25">
      <c r="A193" s="1"/>
      <c r="B193" s="457"/>
      <c r="C193" s="457"/>
      <c r="D193" s="1"/>
      <c r="E193" s="1"/>
      <c r="F193" s="146" t="s">
        <v>230</v>
      </c>
      <c r="G193" s="35"/>
      <c r="H193" s="35"/>
      <c r="I193" s="35"/>
      <c r="J193" s="35"/>
      <c r="K193" s="462"/>
      <c r="L193" s="374"/>
      <c r="M193" s="374"/>
      <c r="N193" s="463"/>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BF193" s="15"/>
      <c r="BG193" s="15"/>
      <c r="BH193" s="15"/>
      <c r="BI193" s="16"/>
      <c r="BJ193" s="16"/>
      <c r="BK193" s="16"/>
      <c r="BL193" s="16"/>
    </row>
    <row r="194" spans="1:64" ht="15" customHeight="1" x14ac:dyDescent="0.5">
      <c r="A194" s="1"/>
      <c r="B194" s="1"/>
      <c r="C194" s="1"/>
      <c r="D194" s="1"/>
      <c r="E194" s="1"/>
      <c r="F194" s="402" t="s">
        <v>369</v>
      </c>
      <c r="G194" s="35"/>
      <c r="H194" s="149">
        <f>H10</f>
        <v>4.5</v>
      </c>
      <c r="I194" s="75" t="s">
        <v>60</v>
      </c>
      <c r="J194" s="33"/>
      <c r="K194" s="35"/>
      <c r="L194" s="374"/>
      <c r="M194" s="374"/>
      <c r="N194" s="35"/>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BF194" s="15"/>
      <c r="BG194" s="15"/>
      <c r="BH194" s="15"/>
      <c r="BI194" s="16"/>
      <c r="BJ194" s="16"/>
      <c r="BK194" s="16"/>
      <c r="BL194" s="16"/>
    </row>
    <row r="195" spans="1:64" ht="15" customHeight="1" x14ac:dyDescent="0.25">
      <c r="A195" s="1"/>
      <c r="B195" s="457"/>
      <c r="C195" s="457"/>
      <c r="D195" s="1"/>
      <c r="E195" s="1"/>
      <c r="F195" s="75" t="s">
        <v>232</v>
      </c>
      <c r="G195" s="75"/>
      <c r="H195" s="149">
        <f>I191*H194/2+I192/2</f>
        <v>0.216</v>
      </c>
      <c r="I195" s="75" t="s">
        <v>92</v>
      </c>
      <c r="J195" s="33"/>
      <c r="K195" s="374"/>
      <c r="L195" s="374"/>
      <c r="M195" s="374"/>
      <c r="N195" s="374"/>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BF195" s="15"/>
      <c r="BG195" s="15"/>
      <c r="BH195" s="15"/>
      <c r="BI195" s="16"/>
      <c r="BJ195" s="16"/>
      <c r="BK195" s="16"/>
      <c r="BL195" s="16"/>
    </row>
    <row r="196" spans="1:64" ht="15" customHeight="1" x14ac:dyDescent="0.25">
      <c r="A196" s="1"/>
      <c r="B196" s="457"/>
      <c r="C196" s="457"/>
      <c r="D196" s="1"/>
      <c r="E196" s="1"/>
      <c r="F196" s="75" t="s">
        <v>235</v>
      </c>
      <c r="G196" s="75"/>
      <c r="H196" s="149">
        <f>(I191*H194^2)/8+I192*H194/4</f>
        <v>0.24299999999999999</v>
      </c>
      <c r="I196" s="75" t="s">
        <v>236</v>
      </c>
      <c r="J196" s="33"/>
      <c r="K196" s="178"/>
      <c r="L196" s="178"/>
      <c r="M196" s="464"/>
      <c r="N196" s="357"/>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BF196" s="15"/>
      <c r="BG196" s="15"/>
      <c r="BH196" s="15"/>
      <c r="BI196" s="16"/>
      <c r="BJ196" s="16"/>
      <c r="BK196" s="16"/>
      <c r="BL196" s="16"/>
    </row>
    <row r="197" spans="1:64" ht="15" customHeight="1" x14ac:dyDescent="0.25">
      <c r="A197" s="1"/>
      <c r="B197" s="1"/>
      <c r="C197" s="1"/>
      <c r="D197" s="1"/>
      <c r="E197" s="1"/>
      <c r="F197" s="146" t="s">
        <v>445</v>
      </c>
      <c r="G197" s="33"/>
      <c r="H197" s="33"/>
      <c r="I197" s="33"/>
      <c r="J197" s="33"/>
      <c r="K197" s="178"/>
      <c r="L197" s="178"/>
      <c r="M197" s="464"/>
      <c r="N197" s="357"/>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BF197" s="15"/>
      <c r="BG197" s="15"/>
      <c r="BH197" s="15"/>
      <c r="BI197" s="16"/>
      <c r="BJ197" s="16"/>
      <c r="BK197" s="16"/>
      <c r="BL197" s="16"/>
    </row>
    <row r="198" spans="1:64" ht="15" customHeight="1" x14ac:dyDescent="0.25">
      <c r="A198" s="1"/>
      <c r="B198" s="1"/>
      <c r="C198" s="1"/>
      <c r="D198" s="1"/>
      <c r="E198" s="1"/>
      <c r="F198" s="321" t="s">
        <v>446</v>
      </c>
      <c r="G198" s="33"/>
      <c r="H198" s="115">
        <f>1.5*H195*1000/(H187*G30)</f>
        <v>3.3860538028720993E-2</v>
      </c>
      <c r="I198" s="293" t="s">
        <v>247</v>
      </c>
      <c r="J198" s="33"/>
      <c r="K198" s="374"/>
      <c r="L198" s="465" t="str">
        <f>IF(H180=0,"","fuoco")</f>
        <v>fuoco</v>
      </c>
      <c r="M198" s="374"/>
      <c r="N198" s="374"/>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BF198" s="15"/>
      <c r="BG198" s="15"/>
      <c r="BH198" s="15"/>
      <c r="BI198" s="16"/>
      <c r="BJ198" s="16"/>
      <c r="BK198" s="16"/>
      <c r="BL198" s="16"/>
    </row>
    <row r="199" spans="1:64" ht="15" customHeight="1" x14ac:dyDescent="0.25">
      <c r="A199" s="1"/>
      <c r="B199" s="1"/>
      <c r="C199" s="1"/>
      <c r="D199" s="1"/>
      <c r="E199" s="1"/>
      <c r="F199" s="321" t="s">
        <v>241</v>
      </c>
      <c r="G199" s="33"/>
      <c r="H199" s="115">
        <f>H196*1000000/G189</f>
        <v>1.0440042557673481</v>
      </c>
      <c r="I199" s="293" t="s">
        <v>247</v>
      </c>
      <c r="J199" s="35"/>
      <c r="K199" s="374"/>
      <c r="L199" s="35"/>
      <c r="M199" s="374"/>
      <c r="N199" s="374"/>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BF199" s="15"/>
      <c r="BG199" s="15"/>
      <c r="BH199" s="15"/>
      <c r="BI199" s="16"/>
      <c r="BJ199" s="16"/>
      <c r="BK199" s="16"/>
      <c r="BL199" s="16"/>
    </row>
    <row r="200" spans="1:64" ht="15" customHeight="1" x14ac:dyDescent="0.25">
      <c r="A200" s="1"/>
      <c r="B200" s="1"/>
      <c r="C200" s="1"/>
      <c r="D200" s="1"/>
      <c r="E200" s="1"/>
      <c r="F200" s="146" t="s">
        <v>447</v>
      </c>
      <c r="G200" s="466"/>
      <c r="H200" s="178"/>
      <c r="I200" s="33"/>
      <c r="J200" s="459"/>
      <c r="K200" s="467" t="s">
        <v>95</v>
      </c>
      <c r="L200" s="363">
        <f>K20</f>
        <v>4.5</v>
      </c>
      <c r="M200" s="357" t="s">
        <v>60</v>
      </c>
      <c r="N200" s="33"/>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BF200" s="15"/>
      <c r="BG200" s="15"/>
      <c r="BH200" s="15"/>
      <c r="BI200" s="16"/>
      <c r="BJ200" s="16"/>
      <c r="BK200" s="16"/>
      <c r="BL200" s="16"/>
    </row>
    <row r="201" spans="1:64" ht="15" customHeight="1" x14ac:dyDescent="0.25">
      <c r="A201" s="1"/>
      <c r="B201" s="1"/>
      <c r="C201" s="1"/>
      <c r="D201" s="1"/>
      <c r="E201" s="1"/>
      <c r="F201" s="146" t="s">
        <v>448</v>
      </c>
      <c r="G201" s="35"/>
      <c r="H201" s="35"/>
      <c r="I201" s="35"/>
      <c r="J201" s="33"/>
      <c r="K201" s="33"/>
      <c r="L201" s="33"/>
      <c r="M201" s="33"/>
      <c r="N201" s="33"/>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BF201" s="15"/>
      <c r="BG201" s="15"/>
      <c r="BH201" s="15"/>
      <c r="BI201" s="16"/>
      <c r="BJ201" s="16"/>
      <c r="BK201" s="16"/>
      <c r="BL201" s="16"/>
    </row>
    <row r="202" spans="1:64" ht="15" customHeight="1" x14ac:dyDescent="0.25">
      <c r="A202" s="1"/>
      <c r="B202" s="1"/>
      <c r="C202" s="1"/>
      <c r="D202" s="1"/>
      <c r="E202" s="1"/>
      <c r="F202" s="75" t="s">
        <v>449</v>
      </c>
      <c r="G202" s="178"/>
      <c r="H202" s="35"/>
      <c r="I202" s="331">
        <f>IF(I203&lt;0.75,1,IF(I203&gt;1.4,(1/I203)^2,1.56-0.75*I203))</f>
        <v>1</v>
      </c>
      <c r="J202" s="33"/>
      <c r="K202" s="75" t="str">
        <f>"secondo (4.4.12) di "&amp;$G$3&amp;""</f>
        <v>secondo (4.4.12) di NTC 17/01/2018</v>
      </c>
      <c r="L202" s="33"/>
      <c r="M202" s="178"/>
      <c r="N202" s="178"/>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BF202" s="15"/>
      <c r="BG202" s="15"/>
      <c r="BH202" s="15"/>
      <c r="BI202" s="16"/>
      <c r="BJ202" s="16"/>
      <c r="BK202" s="16"/>
      <c r="BL202" s="16"/>
    </row>
    <row r="203" spans="1:64" ht="15" customHeight="1" x14ac:dyDescent="0.25">
      <c r="A203" s="1"/>
      <c r="B203" s="1"/>
      <c r="C203" s="1"/>
      <c r="D203" s="1"/>
      <c r="E203" s="1"/>
      <c r="F203" s="364" t="s">
        <v>450</v>
      </c>
      <c r="G203" s="178"/>
      <c r="H203" s="35"/>
      <c r="I203" s="331">
        <f>IF(I206=0,0,(I204/I205)^0.5)</f>
        <v>0.29512859236295536</v>
      </c>
      <c r="J203" s="33"/>
      <c r="K203" s="178" t="s">
        <v>287</v>
      </c>
      <c r="L203" s="33"/>
      <c r="M203" s="178"/>
      <c r="N203" s="178"/>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BF203" s="15"/>
      <c r="BG203" s="15"/>
      <c r="BH203" s="15"/>
      <c r="BI203" s="16"/>
      <c r="BJ203" s="16"/>
      <c r="BK203" s="16"/>
      <c r="BL203" s="16"/>
    </row>
    <row r="204" spans="1:64" ht="15" customHeight="1" x14ac:dyDescent="0.25">
      <c r="A204" s="1"/>
      <c r="B204" s="1"/>
      <c r="C204" s="1"/>
      <c r="D204" s="1"/>
      <c r="E204" s="1"/>
      <c r="F204" s="75" t="s">
        <v>289</v>
      </c>
      <c r="G204" s="35"/>
      <c r="H204" s="35"/>
      <c r="I204" s="331">
        <f>I84</f>
        <v>26.400000000000002</v>
      </c>
      <c r="J204" s="328" t="s">
        <v>247</v>
      </c>
      <c r="K204" s="75" t="s">
        <v>290</v>
      </c>
      <c r="L204" s="33"/>
      <c r="M204" s="178"/>
      <c r="N204" s="178"/>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BF204" s="15"/>
      <c r="BG204" s="15"/>
      <c r="BH204" s="15"/>
      <c r="BI204" s="16"/>
      <c r="BJ204" s="16"/>
      <c r="BK204" s="16"/>
      <c r="BL204" s="16"/>
    </row>
    <row r="205" spans="1:64" ht="15" customHeight="1" x14ac:dyDescent="0.25">
      <c r="A205" s="1"/>
      <c r="B205" s="1"/>
      <c r="C205" s="368" t="s">
        <v>291</v>
      </c>
      <c r="D205" s="1">
        <f>IF(I206=0,E205,(PI()*H184^2/(I206*1000*H185))*I207*(D206/D207)^0.5)</f>
        <v>290.23139023243795</v>
      </c>
      <c r="E205" s="108" t="s">
        <v>292</v>
      </c>
      <c r="F205" s="364" t="s">
        <v>293</v>
      </c>
      <c r="G205" s="35"/>
      <c r="H205" s="35"/>
      <c r="I205" s="363">
        <f>HLOOKUP(H3,$U$68:$X$91,O83,FALSE)</f>
        <v>303.09680191846525</v>
      </c>
      <c r="J205" s="328" t="s">
        <v>247</v>
      </c>
      <c r="K205" s="178" t="s">
        <v>294</v>
      </c>
      <c r="L205" s="33"/>
      <c r="M205" s="178"/>
      <c r="N205" s="178"/>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BF205" s="15"/>
      <c r="BG205" s="15"/>
      <c r="BH205" s="15"/>
      <c r="BI205" s="16"/>
      <c r="BJ205" s="16"/>
      <c r="BK205" s="16"/>
      <c r="BL205" s="16"/>
    </row>
    <row r="206" spans="1:64" ht="15" customHeight="1" x14ac:dyDescent="0.25">
      <c r="B206" s="468"/>
      <c r="C206" s="468" t="s">
        <v>298</v>
      </c>
      <c r="D206" s="469">
        <f>M11</f>
        <v>650</v>
      </c>
      <c r="E206" s="470" t="s">
        <v>247</v>
      </c>
      <c r="F206" s="369" t="s">
        <v>95</v>
      </c>
      <c r="G206" s="35"/>
      <c r="H206" s="35"/>
      <c r="I206" s="331">
        <f>L200</f>
        <v>4.5</v>
      </c>
      <c r="J206" s="328" t="s">
        <v>451</v>
      </c>
      <c r="K206" s="75" t="s">
        <v>295</v>
      </c>
      <c r="L206" s="33"/>
      <c r="M206" s="178"/>
      <c r="N206" s="178"/>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BF206" s="15"/>
      <c r="BG206" s="15"/>
      <c r="BH206" s="15"/>
      <c r="BI206" s="16"/>
      <c r="BJ206" s="16"/>
      <c r="BK206" s="16"/>
      <c r="BL206" s="16"/>
    </row>
    <row r="207" spans="1:64" ht="15" customHeight="1" x14ac:dyDescent="0.25">
      <c r="B207" s="395"/>
      <c r="C207" s="468" t="s">
        <v>299</v>
      </c>
      <c r="D207" s="469">
        <f>M8</f>
        <v>11500</v>
      </c>
      <c r="E207" s="470" t="s">
        <v>247</v>
      </c>
      <c r="F207" s="178" t="s">
        <v>406</v>
      </c>
      <c r="G207" s="178"/>
      <c r="H207" s="178"/>
      <c r="I207" s="438">
        <f>M172</f>
        <v>11040</v>
      </c>
      <c r="J207" s="328" t="s">
        <v>247</v>
      </c>
      <c r="K207" s="75" t="s">
        <v>297</v>
      </c>
      <c r="L207" s="33"/>
      <c r="M207" s="178"/>
      <c r="N207" s="178"/>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BF207" s="15"/>
      <c r="BG207" s="15"/>
      <c r="BH207" s="15"/>
      <c r="BI207" s="16"/>
      <c r="BJ207" s="16"/>
      <c r="BK207" s="16"/>
      <c r="BL207" s="16"/>
    </row>
    <row r="208" spans="1:64" ht="15" customHeight="1" x14ac:dyDescent="0.25">
      <c r="A208" s="1"/>
      <c r="B208" s="1"/>
      <c r="C208" s="1"/>
      <c r="D208" s="58"/>
      <c r="E208" s="58"/>
      <c r="F208" s="146" t="s">
        <v>301</v>
      </c>
      <c r="G208" s="35"/>
      <c r="H208" s="35"/>
      <c r="I208" s="35"/>
      <c r="J208" s="35"/>
      <c r="K208" s="35"/>
      <c r="L208" s="35"/>
      <c r="M208" s="35"/>
      <c r="N208" s="35"/>
      <c r="O208" s="207"/>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BF208" s="15"/>
      <c r="BG208" s="15"/>
      <c r="BH208" s="15"/>
      <c r="BI208" s="16"/>
      <c r="BJ208" s="16"/>
      <c r="BK208" s="16"/>
      <c r="BL208" s="16"/>
    </row>
    <row r="209" spans="1:64" ht="15" customHeight="1" x14ac:dyDescent="0.4">
      <c r="A209" s="1"/>
      <c r="B209" s="1"/>
      <c r="C209" s="1"/>
      <c r="D209" s="370"/>
      <c r="E209" s="370"/>
      <c r="F209" s="33" t="s">
        <v>302</v>
      </c>
      <c r="G209" s="35"/>
      <c r="H209" s="35"/>
      <c r="I209" s="178">
        <f>HLOOKUP(H3,$U$68:$X$91,O85,FALSE)</f>
        <v>230</v>
      </c>
      <c r="J209" s="178" t="s">
        <v>23</v>
      </c>
      <c r="K209" s="178" t="str">
        <f>CONCATENATE("determinato secondo ",HLOOKUP(H3,Y68:AB91,O85,FALSE))</f>
        <v>determinato secondo par (6.1.5)</v>
      </c>
      <c r="L209" s="35"/>
      <c r="M209" s="375"/>
      <c r="N209" s="149"/>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BF209" s="15"/>
      <c r="BG209" s="15"/>
      <c r="BH209" s="15"/>
      <c r="BI209" s="16"/>
      <c r="BJ209" s="16"/>
      <c r="BK209" s="16"/>
      <c r="BL209" s="16"/>
    </row>
    <row r="210" spans="1:64" ht="15" customHeight="1" x14ac:dyDescent="0.35">
      <c r="A210" s="1"/>
      <c r="B210" s="1"/>
      <c r="C210" s="1"/>
      <c r="D210" s="1"/>
      <c r="E210" s="1"/>
      <c r="F210" s="374" t="s">
        <v>306</v>
      </c>
      <c r="G210" s="35"/>
      <c r="H210" s="35"/>
      <c r="I210" s="331">
        <f>HLOOKUP(H3,$U$68:$X$91,O84,FALSE)</f>
        <v>1.75</v>
      </c>
      <c r="J210" s="35"/>
      <c r="K210" s="178" t="str">
        <f>CONCATENATE("parametro ",HLOOKUP(H3,Y68:AB91,O84,FALSE))</f>
        <v>parametro par (6.1.5)</v>
      </c>
      <c r="L210" s="35"/>
      <c r="M210" s="35"/>
      <c r="N210" s="35"/>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BF210" s="15"/>
      <c r="BG210" s="15"/>
      <c r="BH210" s="15"/>
      <c r="BI210" s="16"/>
      <c r="BJ210" s="16"/>
      <c r="BK210" s="16"/>
      <c r="BL210" s="16"/>
    </row>
    <row r="211" spans="1:64" ht="15" customHeight="1" x14ac:dyDescent="0.25">
      <c r="A211" s="1"/>
      <c r="B211" s="1"/>
      <c r="C211" s="1"/>
      <c r="D211" s="1"/>
      <c r="E211" s="1"/>
      <c r="F211" s="378" t="s">
        <v>316</v>
      </c>
      <c r="G211" s="379"/>
      <c r="H211" s="379"/>
      <c r="I211" s="379"/>
      <c r="J211" s="379"/>
      <c r="K211" s="35"/>
      <c r="L211" s="35"/>
      <c r="M211" s="35"/>
      <c r="N211" s="35"/>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BF211" s="15"/>
      <c r="BG211" s="15"/>
      <c r="BH211" s="15"/>
      <c r="BI211" s="16"/>
      <c r="BJ211" s="16"/>
      <c r="BK211" s="16"/>
      <c r="BL211" s="16"/>
    </row>
    <row r="212" spans="1:64" ht="15" customHeight="1" x14ac:dyDescent="0.25">
      <c r="A212" s="1"/>
      <c r="B212" s="1"/>
      <c r="C212" s="1"/>
      <c r="D212" s="1"/>
      <c r="E212" s="1"/>
      <c r="F212" s="364" t="s">
        <v>452</v>
      </c>
      <c r="G212" s="35"/>
      <c r="H212" s="35"/>
      <c r="I212" s="35"/>
      <c r="J212" s="364"/>
      <c r="K212" s="146"/>
      <c r="L212" s="364"/>
      <c r="M212" s="382">
        <f>H199/M176</f>
        <v>3.7826241150990876E-2</v>
      </c>
      <c r="N212" s="383" t="str">
        <f>IF(M212&lt;=1,"≤1","NO!")</f>
        <v>≤1</v>
      </c>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BF212" s="15"/>
      <c r="BG212" s="15"/>
      <c r="BH212" s="15"/>
      <c r="BI212" s="16"/>
      <c r="BJ212" s="16"/>
      <c r="BK212" s="16"/>
      <c r="BL212" s="16"/>
    </row>
    <row r="213" spans="1:64" ht="15" customHeight="1" x14ac:dyDescent="0.25">
      <c r="A213" s="1"/>
      <c r="B213" s="1"/>
      <c r="C213" s="1"/>
      <c r="D213" s="1"/>
      <c r="E213" s="1"/>
      <c r="F213" s="378" t="s">
        <v>327</v>
      </c>
      <c r="G213" s="379"/>
      <c r="H213" s="379"/>
      <c r="I213" s="379"/>
      <c r="J213" s="379"/>
      <c r="K213" s="364"/>
      <c r="L213" s="35"/>
      <c r="M213" s="471"/>
      <c r="N213" s="410"/>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BF213" s="15"/>
      <c r="BG213" s="15"/>
      <c r="BH213" s="15"/>
      <c r="BI213" s="16"/>
      <c r="BJ213" s="16"/>
      <c r="BK213" s="16"/>
      <c r="BL213" s="16"/>
    </row>
    <row r="214" spans="1:64" ht="15" customHeight="1" x14ac:dyDescent="0.25">
      <c r="A214" s="1"/>
      <c r="B214" s="1"/>
      <c r="C214" s="1"/>
      <c r="D214" s="1"/>
      <c r="E214" s="1"/>
      <c r="F214" s="364" t="s">
        <v>453</v>
      </c>
      <c r="G214" s="35"/>
      <c r="H214" s="35"/>
      <c r="I214" s="35"/>
      <c r="J214" s="35"/>
      <c r="K214" s="35"/>
      <c r="L214" s="35"/>
      <c r="M214" s="382">
        <f>H199/(I202*M176)</f>
        <v>3.7826241150990876E-2</v>
      </c>
      <c r="N214" s="383" t="str">
        <f>IF(M214&lt;=1,"≤1","NO!")</f>
        <v>≤1</v>
      </c>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BF214" s="15"/>
      <c r="BG214" s="15"/>
      <c r="BH214" s="15"/>
      <c r="BI214" s="16"/>
      <c r="BJ214" s="16"/>
      <c r="BK214" s="16"/>
      <c r="BL214" s="16"/>
    </row>
    <row r="215" spans="1:64" ht="15" customHeight="1" x14ac:dyDescent="0.25">
      <c r="A215" s="1"/>
      <c r="B215" s="1"/>
      <c r="C215" s="1"/>
      <c r="D215" s="1"/>
      <c r="E215" s="1"/>
      <c r="F215" s="378" t="s">
        <v>337</v>
      </c>
      <c r="G215" s="379"/>
      <c r="H215" s="379"/>
      <c r="I215" s="379"/>
      <c r="J215" s="379"/>
      <c r="K215" s="33"/>
      <c r="L215" s="33"/>
      <c r="M215" s="472"/>
      <c r="N215" s="410"/>
      <c r="O215" s="10"/>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BF215" s="15"/>
      <c r="BG215" s="15"/>
      <c r="BH215" s="15"/>
      <c r="BI215" s="16"/>
      <c r="BJ215" s="16"/>
      <c r="BK215" s="16"/>
      <c r="BL215" s="16"/>
    </row>
    <row r="216" spans="1:64" ht="15" customHeight="1" x14ac:dyDescent="0.25">
      <c r="A216" s="1"/>
      <c r="B216" s="1"/>
      <c r="C216" s="1"/>
      <c r="D216" s="1"/>
      <c r="E216" s="1"/>
      <c r="F216" s="321" t="s">
        <v>454</v>
      </c>
      <c r="G216" s="146"/>
      <c r="H216" s="33"/>
      <c r="I216" s="33"/>
      <c r="J216" s="33"/>
      <c r="K216" s="33"/>
      <c r="L216" s="33"/>
      <c r="M216" s="382">
        <f>H198/M181</f>
        <v>8.4125560319803713E-3</v>
      </c>
      <c r="N216" s="383" t="str">
        <f>IF(M216&lt;=1,"≤1","NO!")</f>
        <v>≤1</v>
      </c>
      <c r="O216" s="1"/>
      <c r="P216" s="108"/>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BF216" s="15"/>
      <c r="BG216" s="15"/>
      <c r="BH216" s="15"/>
      <c r="BI216" s="16"/>
      <c r="BJ216" s="16"/>
      <c r="BK216" s="16"/>
      <c r="BL216" s="16"/>
    </row>
    <row r="217" spans="1:64" ht="15" customHeight="1" x14ac:dyDescent="0.25">
      <c r="A217" s="1"/>
      <c r="B217" s="1"/>
      <c r="C217" s="1"/>
      <c r="D217" s="1"/>
      <c r="E217" s="1"/>
      <c r="F217" s="378" t="s">
        <v>342</v>
      </c>
      <c r="G217" s="379"/>
      <c r="H217" s="379"/>
      <c r="I217" s="379"/>
      <c r="J217" s="379"/>
      <c r="K217" s="35"/>
      <c r="L217" s="35"/>
      <c r="M217" s="281"/>
      <c r="N217" s="35"/>
      <c r="O217" s="300"/>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BF217" s="15"/>
      <c r="BG217" s="15"/>
      <c r="BH217" s="15"/>
      <c r="BI217" s="16"/>
      <c r="BJ217" s="16"/>
      <c r="BK217" s="16"/>
      <c r="BL217" s="16"/>
    </row>
    <row r="218" spans="1:64" ht="15" customHeight="1" x14ac:dyDescent="0.25">
      <c r="A218" s="1"/>
      <c r="B218" s="1"/>
      <c r="C218" s="1"/>
      <c r="D218" s="1"/>
      <c r="E218" s="1"/>
      <c r="F218" s="364" t="s">
        <v>344</v>
      </c>
      <c r="G218" s="146"/>
      <c r="H218" s="33"/>
      <c r="I218" s="374"/>
      <c r="J218" s="33"/>
      <c r="K218" s="33"/>
      <c r="L218" s="33"/>
      <c r="M218" s="382">
        <f>IF(OR(I24=0,I25=0),"/",(H195*10^3/(MIN(H184,I25)*I209))/(I210*M180))</f>
        <v>1.4526028427891571E-3</v>
      </c>
      <c r="N218" s="383" t="str">
        <f>IF(OR(I209=0,I25=0,M218="/"),"/",IF(M218&lt;=1,"≤1","NO!"))</f>
        <v>≤1</v>
      </c>
      <c r="O218" s="300"/>
      <c r="P218" s="108"/>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BF218" s="15"/>
      <c r="BG218" s="15"/>
      <c r="BH218" s="15"/>
      <c r="BI218" s="16"/>
      <c r="BJ218" s="16"/>
      <c r="BK218" s="16"/>
      <c r="BL218" s="16"/>
    </row>
    <row r="219" spans="1:64" ht="15" customHeight="1" x14ac:dyDescent="0.25">
      <c r="A219" s="1"/>
      <c r="B219" s="1"/>
      <c r="C219" s="1"/>
      <c r="D219" s="1"/>
      <c r="E219" s="1"/>
      <c r="F219" s="364"/>
      <c r="G219" s="146"/>
      <c r="H219" s="33"/>
      <c r="I219" s="374"/>
      <c r="J219" s="33"/>
      <c r="K219" s="33"/>
      <c r="L219" s="33"/>
      <c r="M219" s="472"/>
      <c r="N219" s="410"/>
      <c r="O219" s="300"/>
      <c r="P219" s="108"/>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BF219" s="15"/>
      <c r="BG219" s="15"/>
      <c r="BH219" s="15"/>
      <c r="BI219" s="16"/>
      <c r="BJ219" s="16"/>
      <c r="BK219" s="16"/>
      <c r="BL219" s="16"/>
    </row>
    <row r="220" spans="1:64" ht="15" customHeight="1" x14ac:dyDescent="0.25">
      <c r="A220" s="1"/>
      <c r="B220" s="1"/>
      <c r="C220" s="1"/>
      <c r="D220" s="1"/>
      <c r="E220" s="1"/>
      <c r="F220" s="401"/>
      <c r="G220" s="401"/>
      <c r="H220" s="401"/>
      <c r="I220" s="401"/>
      <c r="J220" s="401"/>
      <c r="K220" s="401"/>
      <c r="L220" s="401"/>
      <c r="M220" s="35"/>
      <c r="N220" s="35"/>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BF220" s="15"/>
      <c r="BG220" s="15"/>
      <c r="BH220" s="15"/>
      <c r="BI220" s="16"/>
      <c r="BJ220" s="16"/>
      <c r="BK220" s="16"/>
      <c r="BL220" s="16"/>
    </row>
    <row r="221" spans="1:64" ht="15" customHeight="1" x14ac:dyDescent="0.25">
      <c r="A221" s="1"/>
      <c r="B221" s="1"/>
      <c r="C221" s="1"/>
      <c r="D221" s="1"/>
      <c r="E221" s="1"/>
      <c r="F221" s="218"/>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BF221" s="15"/>
      <c r="BG221" s="15"/>
      <c r="BH221" s="15"/>
      <c r="BI221" s="16"/>
      <c r="BJ221" s="16"/>
      <c r="BK221" s="16"/>
      <c r="BL221" s="16"/>
    </row>
    <row r="222" spans="1:64" ht="15" customHeight="1" x14ac:dyDescent="0.25">
      <c r="A222" s="1"/>
      <c r="B222" s="1"/>
      <c r="C222" s="1"/>
      <c r="D222" s="1"/>
      <c r="E222" s="1"/>
      <c r="F222" s="473"/>
      <c r="G222" s="473"/>
      <c r="H222" s="473"/>
      <c r="I222" s="473"/>
      <c r="J222" s="473"/>
      <c r="K222" s="473"/>
      <c r="L222" s="473"/>
      <c r="M222" s="473"/>
      <c r="N222" s="473"/>
      <c r="O222" s="473"/>
      <c r="P222" s="473"/>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BF222" s="15"/>
      <c r="BG222" s="15"/>
      <c r="BH222" s="15"/>
      <c r="BI222" s="16"/>
      <c r="BJ222" s="16"/>
      <c r="BK222" s="16"/>
      <c r="BL222" s="16"/>
    </row>
    <row r="223" spans="1:64" ht="15" customHeight="1" x14ac:dyDescent="0.25">
      <c r="A223" s="1"/>
      <c r="B223" s="1"/>
      <c r="C223" s="1"/>
      <c r="D223" s="1"/>
      <c r="E223" s="1"/>
      <c r="F223" s="473"/>
      <c r="G223" s="473"/>
      <c r="H223" s="473"/>
      <c r="I223" s="473"/>
      <c r="J223" s="473"/>
      <c r="K223" s="473"/>
      <c r="L223" s="473"/>
      <c r="M223" s="473"/>
      <c r="N223" s="473"/>
      <c r="O223" s="473"/>
      <c r="P223" s="473"/>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BF223" s="15"/>
      <c r="BG223" s="15"/>
      <c r="BH223" s="15"/>
      <c r="BI223" s="16"/>
      <c r="BJ223" s="16"/>
      <c r="BK223" s="16"/>
      <c r="BL223" s="16"/>
    </row>
    <row r="224" spans="1:64" ht="1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BF224" s="15"/>
      <c r="BG224" s="15"/>
      <c r="BH224" s="15"/>
      <c r="BI224" s="16"/>
      <c r="BJ224" s="16"/>
      <c r="BK224" s="16"/>
      <c r="BL224" s="16"/>
    </row>
    <row r="225" spans="1:64" ht="15" customHeight="1" x14ac:dyDescent="0.25">
      <c r="A225" s="1"/>
      <c r="B225" s="1"/>
      <c r="C225" s="1"/>
      <c r="D225" s="1"/>
      <c r="E225" s="1"/>
      <c r="F225" s="218"/>
      <c r="G225" s="1"/>
      <c r="H225" s="1"/>
      <c r="I225" s="1"/>
      <c r="J225" s="62"/>
      <c r="K225" s="62"/>
      <c r="L225" s="62"/>
      <c r="M225" s="62"/>
      <c r="N225" s="62"/>
      <c r="O225" s="62"/>
      <c r="P225" s="62"/>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BF225" s="15"/>
      <c r="BG225" s="15"/>
      <c r="BH225" s="15"/>
      <c r="BI225" s="16"/>
      <c r="BJ225" s="16"/>
      <c r="BK225" s="16"/>
      <c r="BL225" s="16"/>
    </row>
    <row r="226" spans="1:64" ht="15" customHeight="1" x14ac:dyDescent="0.25">
      <c r="A226" s="1"/>
      <c r="B226" s="1"/>
      <c r="C226" s="1"/>
      <c r="D226" s="1"/>
      <c r="E226" s="1"/>
      <c r="F226" s="207"/>
      <c r="G226" s="62"/>
      <c r="H226" s="108"/>
      <c r="I226" s="62"/>
      <c r="J226" s="62"/>
      <c r="K226" s="1"/>
      <c r="L226" s="474"/>
      <c r="M226" s="1"/>
      <c r="N226" s="62"/>
      <c r="O226" s="62"/>
      <c r="P226" s="62"/>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BF226" s="15"/>
      <c r="BG226" s="15"/>
      <c r="BH226" s="15"/>
      <c r="BI226" s="16"/>
      <c r="BJ226" s="16"/>
      <c r="BK226" s="16"/>
      <c r="BL226" s="16"/>
    </row>
    <row r="227" spans="1:64" ht="15" customHeight="1" x14ac:dyDescent="0.25">
      <c r="A227" s="1"/>
      <c r="B227" s="1"/>
      <c r="C227" s="1"/>
      <c r="D227" s="1"/>
      <c r="E227" s="1"/>
      <c r="F227" s="475"/>
      <c r="G227" s="62"/>
      <c r="H227" s="62"/>
      <c r="I227" s="62"/>
      <c r="J227" s="62"/>
      <c r="K227" s="1"/>
      <c r="L227" s="1"/>
      <c r="M227" s="1"/>
      <c r="N227" s="62"/>
      <c r="O227" s="62"/>
      <c r="P227" s="62"/>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BF227" s="15"/>
      <c r="BG227" s="15"/>
      <c r="BH227" s="15"/>
      <c r="BI227" s="16"/>
      <c r="BJ227" s="16"/>
      <c r="BK227" s="16"/>
      <c r="BL227" s="16"/>
    </row>
    <row r="228" spans="1:64" ht="15" customHeight="1" x14ac:dyDescent="0.25">
      <c r="A228" s="1"/>
      <c r="B228" s="1"/>
      <c r="C228" s="1"/>
      <c r="D228" s="1"/>
      <c r="E228" s="1"/>
      <c r="F228" s="62"/>
      <c r="G228" s="476"/>
      <c r="H228" s="62"/>
      <c r="I228" s="62"/>
      <c r="J228" s="62"/>
      <c r="K228" s="62"/>
      <c r="L228" s="62"/>
      <c r="M228" s="62"/>
      <c r="N228" s="62"/>
      <c r="O228" s="62"/>
      <c r="P228" s="62"/>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BF228" s="15"/>
      <c r="BG228" s="15"/>
      <c r="BH228" s="15"/>
      <c r="BI228" s="16"/>
      <c r="BJ228" s="16"/>
      <c r="BK228" s="16"/>
      <c r="BL228" s="16"/>
    </row>
    <row r="229" spans="1:64" ht="15" customHeight="1" x14ac:dyDescent="0.25">
      <c r="A229" s="1"/>
      <c r="B229" s="1"/>
      <c r="C229" s="1"/>
      <c r="D229" s="1"/>
      <c r="E229" s="1"/>
      <c r="F229" s="62"/>
      <c r="G229" s="476"/>
      <c r="H229" s="62"/>
      <c r="I229" s="62"/>
      <c r="J229" s="62"/>
      <c r="K229" s="62"/>
      <c r="L229" s="62"/>
      <c r="M229" s="62"/>
      <c r="N229" s="62"/>
      <c r="O229" s="62"/>
      <c r="P229" s="62"/>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BF229" s="15"/>
      <c r="BG229" s="15"/>
      <c r="BH229" s="15"/>
      <c r="BI229" s="16"/>
      <c r="BJ229" s="16"/>
      <c r="BK229" s="16"/>
      <c r="BL229" s="16"/>
    </row>
    <row r="230" spans="1:64" ht="15" customHeight="1" x14ac:dyDescent="0.25">
      <c r="A230" s="1"/>
      <c r="B230" s="1"/>
      <c r="C230" s="1"/>
      <c r="D230" s="1"/>
      <c r="E230" s="1"/>
      <c r="F230" s="62"/>
      <c r="G230" s="476"/>
      <c r="H230" s="62"/>
      <c r="I230" s="62"/>
      <c r="J230" s="1"/>
      <c r="K230" s="1"/>
      <c r="L230" s="62"/>
      <c r="M230" s="62"/>
      <c r="N230" s="62"/>
      <c r="O230" s="62"/>
      <c r="P230" s="62"/>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BF230" s="15"/>
      <c r="BG230" s="15"/>
      <c r="BH230" s="15"/>
      <c r="BI230" s="16"/>
      <c r="BJ230" s="16"/>
      <c r="BK230" s="16"/>
      <c r="BL230" s="16"/>
    </row>
    <row r="231" spans="1:64" ht="15" customHeight="1" x14ac:dyDescent="0.25">
      <c r="F231" s="477"/>
      <c r="G231" s="478"/>
      <c r="H231" s="479"/>
      <c r="I231" s="292"/>
      <c r="J231" s="480"/>
      <c r="K231" s="166"/>
      <c r="L231" s="166"/>
      <c r="M231" s="166"/>
      <c r="N231" s="166"/>
      <c r="O231" s="166"/>
      <c r="P231" s="166"/>
      <c r="BF231" s="15"/>
      <c r="BG231" s="15"/>
      <c r="BH231" s="15"/>
      <c r="BI231" s="16"/>
      <c r="BJ231" s="16"/>
      <c r="BK231" s="16"/>
      <c r="BL231" s="16"/>
    </row>
    <row r="232" spans="1:64" ht="15" customHeight="1" x14ac:dyDescent="0.25">
      <c r="F232" s="477"/>
      <c r="G232" s="478"/>
      <c r="H232" s="479"/>
      <c r="I232" s="292"/>
      <c r="J232" s="480"/>
      <c r="K232" s="166"/>
      <c r="BF232" s="15"/>
      <c r="BG232" s="15"/>
      <c r="BH232" s="15"/>
      <c r="BI232" s="16"/>
      <c r="BJ232" s="16"/>
      <c r="BK232" s="16"/>
      <c r="BL232" s="16"/>
    </row>
    <row r="233" spans="1:64" ht="15" customHeight="1" x14ac:dyDescent="0.25">
      <c r="F233" s="166"/>
      <c r="G233" s="166"/>
      <c r="H233" s="480"/>
      <c r="I233" s="481"/>
      <c r="J233" s="166"/>
      <c r="K233" s="482"/>
      <c r="L233" s="482"/>
      <c r="M233" s="482"/>
      <c r="N233" s="482"/>
      <c r="O233" s="482"/>
      <c r="P233" s="482"/>
      <c r="Q233" s="481"/>
      <c r="R233" s="483"/>
      <c r="T233" s="166"/>
      <c r="U233" s="484"/>
      <c r="BF233" s="15"/>
      <c r="BG233" s="15"/>
      <c r="BH233" s="15"/>
      <c r="BI233" s="16"/>
      <c r="BJ233" s="16"/>
      <c r="BK233" s="16"/>
      <c r="BL233" s="16"/>
    </row>
    <row r="234" spans="1:64" ht="15" customHeight="1" x14ac:dyDescent="0.25">
      <c r="F234" s="485"/>
      <c r="G234" s="166"/>
      <c r="H234" s="166"/>
      <c r="I234" s="166"/>
      <c r="J234" s="482"/>
      <c r="K234" s="482"/>
      <c r="L234" s="482"/>
      <c r="M234" s="482"/>
      <c r="N234" s="482"/>
      <c r="O234" s="482"/>
      <c r="P234" s="482"/>
      <c r="Q234" s="481"/>
      <c r="R234" s="483"/>
      <c r="S234" s="166"/>
      <c r="T234" s="486"/>
      <c r="U234" s="484"/>
      <c r="V234" s="487"/>
      <c r="W234" s="487"/>
      <c r="BF234" s="15"/>
      <c r="BG234" s="15"/>
      <c r="BH234" s="15"/>
      <c r="BI234" s="16"/>
      <c r="BJ234" s="16"/>
      <c r="BK234" s="16"/>
      <c r="BL234" s="16"/>
    </row>
    <row r="235" spans="1:64" ht="15" customHeight="1" x14ac:dyDescent="0.25">
      <c r="F235" s="166"/>
      <c r="G235" s="481"/>
      <c r="H235" s="166"/>
      <c r="I235" s="292"/>
      <c r="J235" s="166"/>
      <c r="N235" s="166"/>
      <c r="O235" s="166"/>
      <c r="P235" s="166"/>
      <c r="Q235" s="481"/>
      <c r="R235" s="488"/>
      <c r="S235" s="481"/>
      <c r="T235" s="166"/>
      <c r="BF235" s="15"/>
      <c r="BG235" s="15"/>
      <c r="BH235" s="15"/>
      <c r="BI235" s="16"/>
      <c r="BJ235" s="16"/>
      <c r="BK235" s="16"/>
      <c r="BL235" s="16"/>
    </row>
    <row r="236" spans="1:64" ht="15" customHeight="1" x14ac:dyDescent="0.25">
      <c r="F236" s="166"/>
      <c r="G236" s="166"/>
      <c r="H236" s="292"/>
      <c r="I236" s="489"/>
      <c r="J236" s="166"/>
      <c r="N236" s="166"/>
      <c r="O236" s="166"/>
      <c r="P236" s="166"/>
      <c r="Q236" s="490"/>
      <c r="W236" s="487"/>
      <c r="X236" s="491"/>
      <c r="Y236" s="481"/>
      <c r="BF236" s="15"/>
      <c r="BG236" s="15"/>
      <c r="BH236" s="15"/>
      <c r="BI236" s="16"/>
      <c r="BJ236" s="16"/>
      <c r="BK236" s="16"/>
      <c r="BL236" s="16"/>
    </row>
    <row r="237" spans="1:64" ht="15" customHeight="1" x14ac:dyDescent="0.25">
      <c r="F237" s="490"/>
      <c r="H237" s="480"/>
      <c r="I237" s="481"/>
      <c r="K237" s="166"/>
      <c r="L237" s="166"/>
      <c r="M237" s="166"/>
      <c r="N237" s="166"/>
      <c r="O237" s="166"/>
      <c r="P237" s="166"/>
      <c r="Q237" s="481"/>
      <c r="R237" s="492"/>
      <c r="W237" s="487"/>
      <c r="X237" s="491"/>
      <c r="Y237" s="481"/>
      <c r="BF237" s="15"/>
      <c r="BG237" s="15"/>
      <c r="BH237" s="15"/>
      <c r="BI237" s="16"/>
      <c r="BJ237" s="16"/>
      <c r="BK237" s="16"/>
      <c r="BL237" s="16"/>
    </row>
    <row r="238" spans="1:64" ht="15" customHeight="1" x14ac:dyDescent="0.25">
      <c r="F238" s="483"/>
      <c r="G238" s="166"/>
      <c r="H238" s="166"/>
      <c r="I238" s="166"/>
      <c r="J238" s="166"/>
      <c r="N238" s="482"/>
      <c r="O238" s="482"/>
      <c r="P238" s="482"/>
      <c r="Q238" s="490"/>
      <c r="R238" s="492"/>
      <c r="BF238" s="15"/>
      <c r="BG238" s="15"/>
      <c r="BH238" s="15"/>
      <c r="BI238" s="16"/>
      <c r="BJ238" s="16"/>
      <c r="BK238" s="16"/>
      <c r="BL238" s="16"/>
    </row>
    <row r="239" spans="1:64" ht="15" customHeight="1" x14ac:dyDescent="0.25">
      <c r="F239" s="166"/>
      <c r="Q239" s="481"/>
      <c r="BF239" s="15"/>
      <c r="BG239" s="15"/>
      <c r="BH239" s="15"/>
      <c r="BI239" s="16"/>
      <c r="BJ239" s="16"/>
      <c r="BK239" s="16"/>
      <c r="BL239" s="16"/>
    </row>
    <row r="240" spans="1:64" ht="15" customHeight="1" x14ac:dyDescent="0.25">
      <c r="F240" s="493"/>
      <c r="I240" s="494"/>
      <c r="J240" s="484"/>
      <c r="K240" s="166"/>
      <c r="L240" s="166"/>
      <c r="M240" s="495"/>
      <c r="N240" s="496"/>
      <c r="O240" s="292"/>
      <c r="P240" s="292"/>
      <c r="Q240" s="481"/>
      <c r="R240" s="491"/>
      <c r="S240" s="481"/>
      <c r="T240" s="166"/>
      <c r="BF240" s="15"/>
      <c r="BG240" s="15"/>
      <c r="BH240" s="15"/>
      <c r="BI240" s="16"/>
      <c r="BJ240" s="16"/>
      <c r="BK240" s="16"/>
      <c r="BL240" s="16"/>
    </row>
    <row r="241" spans="6:64" ht="15" customHeight="1" x14ac:dyDescent="0.25">
      <c r="Q241" s="481"/>
      <c r="R241" s="491"/>
      <c r="S241" s="481"/>
      <c r="T241" s="166"/>
      <c r="BF241" s="15"/>
      <c r="BG241" s="15"/>
      <c r="BH241" s="15"/>
      <c r="BI241" s="16"/>
      <c r="BJ241" s="16"/>
      <c r="BK241" s="16"/>
      <c r="BL241" s="16"/>
    </row>
    <row r="242" spans="6:64" ht="15" customHeight="1" x14ac:dyDescent="0.25">
      <c r="F242" s="483"/>
      <c r="M242" s="166"/>
      <c r="N242" s="166"/>
      <c r="O242" s="166"/>
      <c r="P242" s="166"/>
      <c r="T242" s="166"/>
      <c r="BF242" s="15"/>
      <c r="BG242" s="15"/>
      <c r="BH242" s="15"/>
      <c r="BI242" s="16"/>
      <c r="BJ242" s="16"/>
      <c r="BK242" s="16"/>
      <c r="BL242" s="16"/>
    </row>
    <row r="243" spans="6:64" ht="15" customHeight="1" x14ac:dyDescent="0.25">
      <c r="F243" s="497"/>
      <c r="M243" s="498"/>
      <c r="N243" s="166"/>
      <c r="O243" s="166"/>
      <c r="P243" s="166"/>
      <c r="T243" s="166"/>
      <c r="BF243" s="15"/>
      <c r="BG243" s="15"/>
      <c r="BH243" s="15"/>
      <c r="BI243" s="16"/>
      <c r="BJ243" s="16"/>
      <c r="BK243" s="16"/>
      <c r="BL243" s="16"/>
    </row>
    <row r="244" spans="6:64" ht="15" customHeight="1" x14ac:dyDescent="0.25">
      <c r="F244" s="166"/>
      <c r="BF244" s="15"/>
      <c r="BG244" s="15"/>
      <c r="BH244" s="15"/>
      <c r="BI244" s="16"/>
      <c r="BJ244" s="16"/>
      <c r="BK244" s="16"/>
      <c r="BL244" s="16"/>
    </row>
    <row r="245" spans="6:64" ht="15" customHeight="1" x14ac:dyDescent="0.25">
      <c r="F245" s="493"/>
      <c r="I245" s="494"/>
      <c r="J245" s="484"/>
      <c r="BF245" s="15"/>
      <c r="BG245" s="15"/>
      <c r="BH245" s="15"/>
      <c r="BI245" s="16"/>
      <c r="BJ245" s="16"/>
      <c r="BK245" s="16"/>
      <c r="BL245" s="16"/>
    </row>
    <row r="246" spans="6:64" ht="15" customHeight="1" x14ac:dyDescent="0.25">
      <c r="F246" s="497"/>
      <c r="BF246" s="15"/>
      <c r="BG246" s="15"/>
      <c r="BH246" s="15"/>
      <c r="BI246" s="16"/>
      <c r="BJ246" s="16"/>
      <c r="BK246" s="16"/>
      <c r="BL246" s="16"/>
    </row>
    <row r="247" spans="6:64" ht="15" customHeight="1" x14ac:dyDescent="0.25">
      <c r="F247" s="166"/>
      <c r="BF247" s="15"/>
      <c r="BG247" s="15"/>
      <c r="BH247" s="15"/>
      <c r="BI247" s="16"/>
      <c r="BJ247" s="16"/>
      <c r="BK247" s="16"/>
      <c r="BL247" s="16"/>
    </row>
    <row r="248" spans="6:64" ht="15" customHeight="1" x14ac:dyDescent="0.25">
      <c r="F248" s="493"/>
      <c r="I248" s="494"/>
      <c r="J248" s="484"/>
      <c r="BF248" s="15"/>
      <c r="BG248" s="15"/>
      <c r="BH248" s="15"/>
      <c r="BI248" s="16"/>
      <c r="BJ248" s="16"/>
      <c r="BK248" s="16"/>
      <c r="BL248" s="16"/>
    </row>
    <row r="249" spans="6:64" ht="15" customHeight="1" x14ac:dyDescent="0.25">
      <c r="F249" s="497"/>
      <c r="L249" s="481"/>
      <c r="BF249" s="15"/>
      <c r="BG249" s="15"/>
      <c r="BH249" s="15"/>
      <c r="BI249" s="16"/>
      <c r="BJ249" s="16"/>
      <c r="BK249" s="16"/>
      <c r="BL249" s="16"/>
    </row>
    <row r="250" spans="6:64" ht="15" customHeight="1" x14ac:dyDescent="0.25">
      <c r="I250" s="491"/>
      <c r="J250" s="484"/>
      <c r="M250" s="499"/>
      <c r="N250" s="500"/>
      <c r="O250" s="373"/>
      <c r="P250" s="373"/>
      <c r="BF250" s="15"/>
      <c r="BG250" s="15"/>
      <c r="BH250" s="15"/>
      <c r="BI250" s="16"/>
      <c r="BJ250" s="16"/>
      <c r="BK250" s="16"/>
      <c r="BL250" s="16"/>
    </row>
    <row r="251" spans="6:64" ht="15" customHeight="1" x14ac:dyDescent="0.25">
      <c r="BF251" s="15"/>
      <c r="BG251" s="15"/>
      <c r="BH251" s="15"/>
      <c r="BI251" s="16"/>
      <c r="BJ251" s="16"/>
      <c r="BK251" s="16"/>
      <c r="BL251" s="16"/>
    </row>
    <row r="252" spans="6:64" ht="15" customHeight="1" x14ac:dyDescent="0.25">
      <c r="BF252" s="15"/>
      <c r="BG252" s="15"/>
      <c r="BH252" s="15"/>
      <c r="BI252" s="16"/>
      <c r="BJ252" s="16"/>
      <c r="BK252" s="16"/>
      <c r="BL252" s="16"/>
    </row>
    <row r="253" spans="6:64" ht="15" customHeight="1" x14ac:dyDescent="0.25">
      <c r="BF253" s="15"/>
      <c r="BG253" s="15"/>
      <c r="BH253" s="15"/>
      <c r="BI253" s="16"/>
      <c r="BJ253" s="16"/>
      <c r="BK253" s="16"/>
      <c r="BL253" s="16"/>
    </row>
    <row r="254" spans="6:64" ht="15" customHeight="1" x14ac:dyDescent="0.25">
      <c r="BF254" s="15"/>
      <c r="BG254" s="15"/>
      <c r="BH254" s="15"/>
      <c r="BI254" s="16"/>
      <c r="BJ254" s="16"/>
      <c r="BK254" s="16"/>
      <c r="BL254" s="16"/>
    </row>
    <row r="255" spans="6:64" ht="15" customHeight="1" x14ac:dyDescent="0.25">
      <c r="BF255" s="15"/>
      <c r="BG255" s="15"/>
      <c r="BH255" s="15"/>
      <c r="BI255" s="16"/>
      <c r="BJ255" s="16"/>
      <c r="BK255" s="16"/>
      <c r="BL255" s="16"/>
    </row>
    <row r="256" spans="6:64" ht="15" customHeight="1" x14ac:dyDescent="0.25">
      <c r="BF256" s="15"/>
      <c r="BG256" s="15"/>
      <c r="BH256" s="15"/>
      <c r="BI256" s="16"/>
      <c r="BJ256" s="16"/>
      <c r="BK256" s="16"/>
      <c r="BL256" s="16"/>
    </row>
    <row r="257" spans="6:64" ht="15" customHeight="1" x14ac:dyDescent="0.25">
      <c r="BF257" s="15"/>
      <c r="BG257" s="15"/>
      <c r="BH257" s="15"/>
      <c r="BI257" s="16"/>
      <c r="BJ257" s="16"/>
      <c r="BK257" s="16"/>
      <c r="BL257" s="16"/>
    </row>
    <row r="258" spans="6:64" ht="15" customHeight="1" x14ac:dyDescent="0.25">
      <c r="BF258" s="15"/>
      <c r="BG258" s="15"/>
      <c r="BH258" s="15"/>
      <c r="BI258" s="16"/>
      <c r="BJ258" s="16"/>
      <c r="BK258" s="16"/>
      <c r="BL258" s="16"/>
    </row>
    <row r="259" spans="6:64" ht="15" customHeight="1" x14ac:dyDescent="0.25">
      <c r="BF259" s="15"/>
      <c r="BG259" s="15"/>
      <c r="BH259" s="15"/>
      <c r="BI259" s="16"/>
      <c r="BJ259" s="16"/>
      <c r="BK259" s="16"/>
      <c r="BL259" s="16"/>
    </row>
    <row r="260" spans="6:64" ht="15" customHeight="1" x14ac:dyDescent="0.25">
      <c r="F260" s="485"/>
      <c r="G260" s="166"/>
      <c r="H260" s="166"/>
      <c r="I260" s="166"/>
      <c r="J260" s="166"/>
      <c r="K260" s="166"/>
      <c r="L260" s="166"/>
      <c r="M260" s="166"/>
      <c r="N260" s="166"/>
      <c r="O260" s="166"/>
      <c r="P260" s="166"/>
      <c r="BF260" s="15"/>
      <c r="BG260" s="15"/>
      <c r="BH260" s="15"/>
      <c r="BI260" s="16"/>
      <c r="BJ260" s="16"/>
      <c r="BK260" s="16"/>
      <c r="BL260" s="16"/>
    </row>
    <row r="261" spans="6:64" ht="15" customHeight="1" x14ac:dyDescent="0.25">
      <c r="F261" s="482"/>
      <c r="G261" s="482"/>
      <c r="H261" s="482"/>
      <c r="I261" s="482"/>
      <c r="J261" s="482"/>
      <c r="K261" s="482"/>
      <c r="L261" s="482"/>
      <c r="M261" s="482"/>
      <c r="N261" s="482"/>
      <c r="O261" s="482"/>
      <c r="P261" s="482"/>
      <c r="BF261" s="15"/>
      <c r="BG261" s="15"/>
      <c r="BH261" s="15"/>
      <c r="BI261" s="16"/>
      <c r="BJ261" s="16"/>
      <c r="BK261" s="16"/>
      <c r="BL261" s="16"/>
    </row>
    <row r="262" spans="6:64" ht="15" customHeight="1" x14ac:dyDescent="0.25">
      <c r="F262" s="482"/>
      <c r="G262" s="482"/>
      <c r="H262" s="482"/>
      <c r="I262" s="482"/>
      <c r="J262" s="482"/>
      <c r="K262" s="482"/>
      <c r="L262" s="482"/>
      <c r="M262" s="482"/>
      <c r="N262" s="482"/>
      <c r="O262" s="482"/>
      <c r="P262" s="482"/>
      <c r="BF262" s="15"/>
      <c r="BG262" s="15"/>
      <c r="BH262" s="15"/>
      <c r="BI262" s="16"/>
      <c r="BJ262" s="16"/>
      <c r="BK262" s="16"/>
      <c r="BL262" s="16"/>
    </row>
    <row r="263" spans="6:64" ht="15" customHeight="1" x14ac:dyDescent="0.25">
      <c r="G263" s="485"/>
      <c r="H263" s="485"/>
      <c r="I263" s="485"/>
      <c r="J263" s="485"/>
      <c r="K263" s="485"/>
      <c r="L263" s="485"/>
      <c r="M263" s="485"/>
      <c r="N263" s="485"/>
      <c r="O263" s="485"/>
      <c r="P263" s="485"/>
      <c r="BF263" s="15"/>
      <c r="BG263" s="15"/>
      <c r="BH263" s="15"/>
      <c r="BI263" s="16"/>
      <c r="BJ263" s="16"/>
      <c r="BK263" s="16"/>
      <c r="BL263" s="16"/>
    </row>
    <row r="264" spans="6:64" ht="15" customHeight="1" x14ac:dyDescent="0.25">
      <c r="BF264" s="15"/>
      <c r="BG264" s="15"/>
      <c r="BH264" s="15"/>
      <c r="BI264" s="16"/>
      <c r="BJ264" s="16"/>
      <c r="BK264" s="16"/>
      <c r="BL264" s="16"/>
    </row>
    <row r="265" spans="6:64" ht="15" customHeight="1" x14ac:dyDescent="0.25">
      <c r="BF265" s="15"/>
      <c r="BG265" s="15"/>
      <c r="BH265" s="15"/>
      <c r="BI265" s="16"/>
      <c r="BJ265" s="16"/>
      <c r="BK265" s="16"/>
      <c r="BL265" s="16"/>
    </row>
    <row r="266" spans="6:64" ht="15" customHeight="1" x14ac:dyDescent="0.25">
      <c r="BF266" s="15"/>
      <c r="BG266" s="15"/>
      <c r="BH266" s="15"/>
      <c r="BI266" s="16"/>
      <c r="BJ266" s="16"/>
      <c r="BK266" s="16"/>
      <c r="BL266" s="16"/>
    </row>
    <row r="267" spans="6:64" ht="15" customHeight="1" x14ac:dyDescent="0.25">
      <c r="BF267" s="15"/>
      <c r="BG267" s="15"/>
      <c r="BH267" s="15"/>
      <c r="BI267" s="16"/>
      <c r="BJ267" s="16"/>
      <c r="BK267" s="16"/>
      <c r="BL267" s="16"/>
    </row>
    <row r="268" spans="6:64" ht="15" customHeight="1" x14ac:dyDescent="0.25">
      <c r="BF268" s="15"/>
      <c r="BG268" s="15"/>
      <c r="BH268" s="15"/>
      <c r="BI268" s="16"/>
      <c r="BJ268" s="16"/>
      <c r="BK268" s="16"/>
      <c r="BL268" s="16"/>
    </row>
    <row r="269" spans="6:64" ht="15" customHeight="1" x14ac:dyDescent="0.25">
      <c r="BF269" s="15"/>
      <c r="BG269" s="15"/>
      <c r="BH269" s="15"/>
      <c r="BI269" s="16"/>
      <c r="BJ269" s="16"/>
      <c r="BK269" s="16"/>
      <c r="BL269" s="16"/>
    </row>
    <row r="270" spans="6:64" ht="15" customHeight="1" x14ac:dyDescent="0.25">
      <c r="BF270" s="15"/>
      <c r="BG270" s="15"/>
      <c r="BH270" s="15"/>
      <c r="BI270" s="16"/>
      <c r="BJ270" s="16"/>
      <c r="BK270" s="16"/>
      <c r="BL270" s="16"/>
    </row>
    <row r="271" spans="6:64" ht="15" customHeight="1" x14ac:dyDescent="0.25">
      <c r="BF271" s="15"/>
      <c r="BG271" s="15"/>
      <c r="BH271" s="15"/>
      <c r="BI271" s="16"/>
      <c r="BJ271" s="16"/>
      <c r="BK271" s="16"/>
      <c r="BL271" s="16"/>
    </row>
    <row r="272" spans="6:64" ht="15" customHeight="1" x14ac:dyDescent="0.25">
      <c r="BF272" s="15"/>
      <c r="BG272" s="15"/>
      <c r="BH272" s="15"/>
      <c r="BI272" s="16"/>
      <c r="BJ272" s="16"/>
      <c r="BK272" s="16"/>
      <c r="BL272" s="16"/>
    </row>
    <row r="273" spans="58:64" ht="15" customHeight="1" x14ac:dyDescent="0.25">
      <c r="BF273" s="15"/>
      <c r="BG273" s="15"/>
      <c r="BH273" s="15"/>
      <c r="BI273" s="16"/>
      <c r="BJ273" s="16"/>
      <c r="BK273" s="16"/>
      <c r="BL273" s="16"/>
    </row>
    <row r="274" spans="58:64" ht="15" customHeight="1" x14ac:dyDescent="0.25">
      <c r="BF274" s="15"/>
      <c r="BG274" s="15"/>
      <c r="BH274" s="15"/>
      <c r="BI274" s="16"/>
      <c r="BJ274" s="16"/>
      <c r="BK274" s="16"/>
      <c r="BL274" s="16"/>
    </row>
    <row r="275" spans="58:64" ht="15" customHeight="1" x14ac:dyDescent="0.25">
      <c r="BF275" s="15"/>
      <c r="BG275" s="15"/>
      <c r="BH275" s="15"/>
      <c r="BI275" s="16"/>
      <c r="BJ275" s="16"/>
      <c r="BK275" s="16"/>
      <c r="BL275" s="16"/>
    </row>
    <row r="276" spans="58:64" ht="15" customHeight="1" x14ac:dyDescent="0.25">
      <c r="BF276" s="15"/>
      <c r="BG276" s="15"/>
      <c r="BH276" s="15"/>
      <c r="BI276" s="16"/>
      <c r="BJ276" s="16"/>
      <c r="BK276" s="16"/>
      <c r="BL276" s="16"/>
    </row>
    <row r="277" spans="58:64" ht="15" customHeight="1" x14ac:dyDescent="0.25">
      <c r="BF277" s="15"/>
      <c r="BG277" s="15"/>
      <c r="BH277" s="15"/>
      <c r="BI277" s="16"/>
      <c r="BJ277" s="16"/>
      <c r="BK277" s="16"/>
      <c r="BL277" s="16"/>
    </row>
    <row r="278" spans="58:64" ht="15" customHeight="1" x14ac:dyDescent="0.25">
      <c r="BF278" s="15"/>
      <c r="BG278" s="15"/>
      <c r="BH278" s="15"/>
      <c r="BI278" s="16"/>
      <c r="BJ278" s="16"/>
      <c r="BK278" s="16"/>
      <c r="BL278" s="16"/>
    </row>
    <row r="279" spans="58:64" ht="15" customHeight="1" x14ac:dyDescent="0.25">
      <c r="BF279" s="15"/>
      <c r="BG279" s="15"/>
      <c r="BH279" s="15"/>
      <c r="BI279" s="16"/>
      <c r="BJ279" s="16"/>
      <c r="BK279" s="16"/>
      <c r="BL279" s="16"/>
    </row>
    <row r="280" spans="58:64" ht="15" customHeight="1" x14ac:dyDescent="0.25">
      <c r="BF280" s="15"/>
      <c r="BG280" s="15"/>
      <c r="BH280" s="15"/>
      <c r="BI280" s="16"/>
      <c r="BJ280" s="16"/>
      <c r="BK280" s="16"/>
      <c r="BL280" s="16"/>
    </row>
    <row r="281" spans="58:64" ht="15" customHeight="1" x14ac:dyDescent="0.25">
      <c r="BF281" s="15"/>
      <c r="BG281" s="15"/>
      <c r="BH281" s="15"/>
      <c r="BI281" s="16"/>
      <c r="BJ281" s="16"/>
      <c r="BK281" s="16"/>
      <c r="BL281" s="16"/>
    </row>
    <row r="282" spans="58:64" ht="15" customHeight="1" x14ac:dyDescent="0.25">
      <c r="BF282" s="15"/>
      <c r="BG282" s="15"/>
      <c r="BH282" s="15"/>
      <c r="BI282" s="16"/>
      <c r="BJ282" s="16"/>
      <c r="BK282" s="16"/>
      <c r="BL282" s="16"/>
    </row>
    <row r="283" spans="58:64" ht="15" customHeight="1" x14ac:dyDescent="0.25">
      <c r="BF283" s="15"/>
      <c r="BG283" s="15"/>
      <c r="BH283" s="15"/>
      <c r="BI283" s="16"/>
      <c r="BJ283" s="16"/>
      <c r="BK283" s="16"/>
      <c r="BL283" s="16"/>
    </row>
    <row r="284" spans="58:64" ht="15" customHeight="1" x14ac:dyDescent="0.25">
      <c r="BF284" s="15"/>
      <c r="BG284" s="15"/>
      <c r="BH284" s="15"/>
      <c r="BI284" s="16"/>
      <c r="BJ284" s="16"/>
      <c r="BK284" s="16"/>
      <c r="BL284" s="16"/>
    </row>
    <row r="285" spans="58:64" ht="15" customHeight="1" x14ac:dyDescent="0.25">
      <c r="BF285" s="15"/>
      <c r="BG285" s="15"/>
      <c r="BH285" s="15"/>
      <c r="BI285" s="16"/>
      <c r="BJ285" s="16"/>
      <c r="BK285" s="16"/>
      <c r="BL285" s="16"/>
    </row>
    <row r="286" spans="58:64" ht="15" customHeight="1" x14ac:dyDescent="0.25">
      <c r="BF286" s="15"/>
      <c r="BG286" s="15"/>
      <c r="BH286" s="15"/>
      <c r="BI286" s="16"/>
      <c r="BJ286" s="16"/>
      <c r="BK286" s="16"/>
      <c r="BL286" s="16"/>
    </row>
    <row r="287" spans="58:64" ht="15" customHeight="1" x14ac:dyDescent="0.25">
      <c r="BF287" s="15"/>
      <c r="BG287" s="15"/>
      <c r="BH287" s="15"/>
      <c r="BI287" s="16"/>
      <c r="BJ287" s="16"/>
      <c r="BK287" s="16"/>
      <c r="BL287" s="16"/>
    </row>
    <row r="288" spans="58:64" ht="15" customHeight="1" x14ac:dyDescent="0.25">
      <c r="BF288" s="15"/>
      <c r="BG288" s="15"/>
      <c r="BH288" s="15"/>
      <c r="BI288" s="16"/>
      <c r="BJ288" s="16"/>
      <c r="BK288" s="16"/>
      <c r="BL288" s="16"/>
    </row>
    <row r="289" spans="58:64" ht="15" customHeight="1" x14ac:dyDescent="0.25">
      <c r="BF289" s="15"/>
      <c r="BG289" s="15"/>
      <c r="BH289" s="15"/>
      <c r="BI289" s="16"/>
      <c r="BJ289" s="16"/>
      <c r="BK289" s="16"/>
      <c r="BL289" s="16"/>
    </row>
    <row r="290" spans="58:64" ht="15" customHeight="1" x14ac:dyDescent="0.25">
      <c r="BF290" s="15"/>
      <c r="BG290" s="15"/>
      <c r="BH290" s="15"/>
      <c r="BI290" s="16"/>
      <c r="BJ290" s="16"/>
      <c r="BK290" s="16"/>
      <c r="BL290" s="16"/>
    </row>
    <row r="291" spans="58:64" ht="15" customHeight="1" x14ac:dyDescent="0.25">
      <c r="BF291" s="15"/>
      <c r="BG291" s="15"/>
      <c r="BH291" s="15"/>
      <c r="BI291" s="16"/>
      <c r="BJ291" s="16"/>
      <c r="BK291" s="16"/>
      <c r="BL291" s="16"/>
    </row>
    <row r="292" spans="58:64" ht="15" customHeight="1" x14ac:dyDescent="0.25">
      <c r="BF292" s="15"/>
      <c r="BG292" s="15"/>
      <c r="BH292" s="15"/>
      <c r="BI292" s="16"/>
      <c r="BJ292" s="16"/>
      <c r="BK292" s="16"/>
      <c r="BL292" s="16"/>
    </row>
    <row r="293" spans="58:64" ht="15" customHeight="1" x14ac:dyDescent="0.25">
      <c r="BF293" s="15"/>
      <c r="BG293" s="15"/>
      <c r="BH293" s="15"/>
      <c r="BI293" s="16"/>
      <c r="BJ293" s="16"/>
      <c r="BK293" s="16"/>
      <c r="BL293" s="16"/>
    </row>
    <row r="294" spans="58:64" ht="15" customHeight="1" x14ac:dyDescent="0.25">
      <c r="BF294" s="15"/>
      <c r="BG294" s="15"/>
      <c r="BH294" s="15"/>
      <c r="BI294" s="16"/>
      <c r="BJ294" s="16"/>
      <c r="BK294" s="16"/>
      <c r="BL294" s="16"/>
    </row>
    <row r="295" spans="58:64" ht="15" customHeight="1" x14ac:dyDescent="0.25">
      <c r="BF295" s="15"/>
      <c r="BG295" s="15"/>
      <c r="BH295" s="15"/>
      <c r="BI295" s="16"/>
      <c r="BJ295" s="16"/>
      <c r="BK295" s="16"/>
      <c r="BL295" s="16"/>
    </row>
    <row r="296" spans="58:64" ht="15" customHeight="1" x14ac:dyDescent="0.25">
      <c r="BF296" s="15"/>
      <c r="BG296" s="15"/>
      <c r="BH296" s="15"/>
      <c r="BI296" s="16"/>
      <c r="BJ296" s="16"/>
      <c r="BK296" s="16"/>
      <c r="BL296" s="16"/>
    </row>
    <row r="297" spans="58:64" ht="15" customHeight="1" x14ac:dyDescent="0.25">
      <c r="BF297" s="15"/>
      <c r="BG297" s="15"/>
      <c r="BH297" s="15"/>
      <c r="BI297" s="16"/>
      <c r="BJ297" s="16"/>
      <c r="BK297" s="16"/>
      <c r="BL297" s="16"/>
    </row>
    <row r="298" spans="58:64" ht="15" customHeight="1" x14ac:dyDescent="0.25">
      <c r="BF298" s="15"/>
      <c r="BG298" s="15"/>
      <c r="BH298" s="15"/>
      <c r="BI298" s="16"/>
      <c r="BJ298" s="16"/>
      <c r="BK298" s="16"/>
      <c r="BL298" s="16"/>
    </row>
    <row r="299" spans="58:64" ht="15" customHeight="1" x14ac:dyDescent="0.25">
      <c r="BF299" s="15"/>
      <c r="BG299" s="15"/>
      <c r="BH299" s="15"/>
      <c r="BI299" s="16"/>
      <c r="BJ299" s="16"/>
      <c r="BK299" s="16"/>
      <c r="BL299" s="16"/>
    </row>
    <row r="300" spans="58:64" ht="15" customHeight="1" x14ac:dyDescent="0.25">
      <c r="BF300" s="15"/>
      <c r="BG300" s="15"/>
      <c r="BH300" s="15"/>
      <c r="BI300" s="16"/>
      <c r="BJ300" s="16"/>
      <c r="BK300" s="16"/>
      <c r="BL300" s="16"/>
    </row>
    <row r="301" spans="58:64" ht="15" customHeight="1" x14ac:dyDescent="0.25">
      <c r="BF301" s="15"/>
      <c r="BG301" s="15"/>
      <c r="BH301" s="15"/>
      <c r="BI301" s="16"/>
      <c r="BJ301" s="16"/>
      <c r="BK301" s="16"/>
      <c r="BL301" s="16"/>
    </row>
    <row r="302" spans="58:64" ht="15" customHeight="1" x14ac:dyDescent="0.25">
      <c r="BF302" s="15"/>
      <c r="BG302" s="15"/>
      <c r="BH302" s="15"/>
      <c r="BI302" s="16"/>
      <c r="BJ302" s="16"/>
      <c r="BK302" s="16"/>
      <c r="BL302" s="16"/>
    </row>
    <row r="303" spans="58:64" ht="15" customHeight="1" x14ac:dyDescent="0.25">
      <c r="BF303" s="15"/>
      <c r="BG303" s="15"/>
      <c r="BH303" s="15"/>
      <c r="BI303" s="16"/>
      <c r="BJ303" s="16"/>
      <c r="BK303" s="16"/>
      <c r="BL303" s="16"/>
    </row>
    <row r="304" spans="58:64" ht="15" customHeight="1" x14ac:dyDescent="0.25">
      <c r="BF304" s="15"/>
      <c r="BG304" s="15"/>
      <c r="BH304" s="15"/>
      <c r="BI304" s="16"/>
      <c r="BJ304" s="16"/>
      <c r="BK304" s="16"/>
      <c r="BL304" s="16"/>
    </row>
    <row r="305" spans="58:64" ht="15" customHeight="1" x14ac:dyDescent="0.25">
      <c r="BF305" s="15"/>
      <c r="BG305" s="15"/>
      <c r="BH305" s="15"/>
      <c r="BI305" s="16"/>
      <c r="BJ305" s="16"/>
      <c r="BK305" s="16"/>
      <c r="BL305" s="16"/>
    </row>
    <row r="306" spans="58:64" ht="15" customHeight="1" x14ac:dyDescent="0.25">
      <c r="BF306" s="15"/>
      <c r="BG306" s="15"/>
      <c r="BH306" s="15"/>
      <c r="BI306" s="16"/>
      <c r="BJ306" s="16"/>
      <c r="BK306" s="16"/>
      <c r="BL306" s="16"/>
    </row>
    <row r="307" spans="58:64" ht="15" customHeight="1" x14ac:dyDescent="0.25">
      <c r="BF307" s="15"/>
      <c r="BG307" s="15"/>
      <c r="BH307" s="15"/>
      <c r="BI307" s="16"/>
      <c r="BJ307" s="16"/>
      <c r="BK307" s="16"/>
      <c r="BL307" s="16"/>
    </row>
    <row r="308" spans="58:64" ht="15" customHeight="1" x14ac:dyDescent="0.25">
      <c r="BF308" s="15"/>
      <c r="BG308" s="15"/>
      <c r="BH308" s="15"/>
      <c r="BI308" s="16"/>
      <c r="BJ308" s="16"/>
      <c r="BK308" s="16"/>
      <c r="BL308" s="16"/>
    </row>
    <row r="309" spans="58:64" ht="15" customHeight="1" x14ac:dyDescent="0.25">
      <c r="BF309" s="15"/>
      <c r="BG309" s="15"/>
      <c r="BH309" s="15"/>
      <c r="BI309" s="16"/>
      <c r="BJ309" s="16"/>
      <c r="BK309" s="16"/>
      <c r="BL309" s="16"/>
    </row>
    <row r="310" spans="58:64" ht="15" customHeight="1" x14ac:dyDescent="0.25">
      <c r="BF310" s="15"/>
      <c r="BG310" s="15"/>
      <c r="BH310" s="15"/>
      <c r="BI310" s="16"/>
      <c r="BJ310" s="16"/>
      <c r="BK310" s="16"/>
      <c r="BL310" s="16"/>
    </row>
    <row r="311" spans="58:64" ht="15" customHeight="1" x14ac:dyDescent="0.25">
      <c r="BF311" s="15"/>
      <c r="BG311" s="15"/>
      <c r="BH311" s="15"/>
      <c r="BI311" s="16"/>
      <c r="BJ311" s="16"/>
      <c r="BK311" s="16"/>
      <c r="BL311" s="16"/>
    </row>
    <row r="312" spans="58:64" ht="15" customHeight="1" x14ac:dyDescent="0.25">
      <c r="BF312" s="15"/>
      <c r="BG312" s="15"/>
      <c r="BH312" s="15"/>
      <c r="BI312" s="16"/>
      <c r="BJ312" s="16"/>
      <c r="BK312" s="16"/>
      <c r="BL312" s="16"/>
    </row>
    <row r="313" spans="58:64" ht="15" customHeight="1" x14ac:dyDescent="0.25">
      <c r="BF313" s="15"/>
      <c r="BG313" s="15"/>
      <c r="BH313" s="15"/>
      <c r="BI313" s="16"/>
      <c r="BJ313" s="16"/>
      <c r="BK313" s="16"/>
      <c r="BL313" s="16"/>
    </row>
    <row r="314" spans="58:64" ht="15" customHeight="1" x14ac:dyDescent="0.25">
      <c r="BF314" s="15"/>
      <c r="BG314" s="15"/>
      <c r="BH314" s="15"/>
      <c r="BI314" s="16"/>
      <c r="BJ314" s="16"/>
      <c r="BK314" s="16"/>
      <c r="BL314" s="16"/>
    </row>
    <row r="315" spans="58:64" ht="15" customHeight="1" x14ac:dyDescent="0.25">
      <c r="BF315" s="15"/>
      <c r="BG315" s="15"/>
      <c r="BH315" s="15"/>
      <c r="BI315" s="16"/>
      <c r="BJ315" s="16"/>
      <c r="BK315" s="16"/>
      <c r="BL315" s="16"/>
    </row>
    <row r="316" spans="58:64" ht="15" customHeight="1" x14ac:dyDescent="0.25">
      <c r="BF316" s="15"/>
      <c r="BG316" s="15"/>
      <c r="BH316" s="15"/>
      <c r="BI316" s="16"/>
      <c r="BJ316" s="16"/>
      <c r="BK316" s="16"/>
      <c r="BL316" s="16"/>
    </row>
    <row r="317" spans="58:64" ht="15" customHeight="1" x14ac:dyDescent="0.25">
      <c r="BF317" s="15"/>
      <c r="BG317" s="15"/>
      <c r="BH317" s="15"/>
      <c r="BI317" s="16"/>
      <c r="BJ317" s="16"/>
      <c r="BK317" s="16"/>
      <c r="BL317" s="16"/>
    </row>
    <row r="318" spans="58:64" ht="15" customHeight="1" x14ac:dyDescent="0.25">
      <c r="BF318" s="15"/>
      <c r="BG318" s="15"/>
      <c r="BH318" s="15"/>
      <c r="BI318" s="16"/>
      <c r="BJ318" s="16"/>
      <c r="BK318" s="16"/>
      <c r="BL318" s="16"/>
    </row>
    <row r="319" spans="58:64" ht="15" customHeight="1" x14ac:dyDescent="0.25">
      <c r="BF319" s="15"/>
      <c r="BG319" s="15"/>
      <c r="BH319" s="15"/>
      <c r="BI319" s="16"/>
      <c r="BJ319" s="16"/>
      <c r="BK319" s="16"/>
      <c r="BL319" s="16"/>
    </row>
    <row r="320" spans="58:64" ht="15" customHeight="1" x14ac:dyDescent="0.25">
      <c r="BF320" s="15"/>
      <c r="BG320" s="15"/>
      <c r="BH320" s="15"/>
      <c r="BI320" s="16"/>
      <c r="BJ320" s="16"/>
      <c r="BK320" s="16"/>
      <c r="BL320" s="16"/>
    </row>
    <row r="321" spans="58:64" ht="15" customHeight="1" x14ac:dyDescent="0.25">
      <c r="BF321" s="15"/>
      <c r="BG321" s="15"/>
      <c r="BH321" s="15"/>
      <c r="BI321" s="16"/>
      <c r="BJ321" s="16"/>
      <c r="BK321" s="16"/>
      <c r="BL321" s="16"/>
    </row>
    <row r="322" spans="58:64" ht="15" customHeight="1" x14ac:dyDescent="0.25">
      <c r="BF322" s="15"/>
      <c r="BG322" s="15"/>
      <c r="BH322" s="15"/>
      <c r="BI322" s="16"/>
      <c r="BJ322" s="16"/>
      <c r="BK322" s="16"/>
      <c r="BL322" s="16"/>
    </row>
    <row r="323" spans="58:64" ht="15" customHeight="1" x14ac:dyDescent="0.25">
      <c r="BF323" s="15"/>
      <c r="BG323" s="15"/>
      <c r="BH323" s="15"/>
      <c r="BI323" s="16"/>
      <c r="BJ323" s="16"/>
      <c r="BK323" s="16"/>
      <c r="BL323" s="16"/>
    </row>
    <row r="324" spans="58:64" ht="15" customHeight="1" x14ac:dyDescent="0.25">
      <c r="BF324" s="15"/>
      <c r="BG324" s="15"/>
      <c r="BH324" s="15"/>
      <c r="BI324" s="16"/>
      <c r="BJ324" s="16"/>
      <c r="BK324" s="16"/>
      <c r="BL324" s="16"/>
    </row>
    <row r="325" spans="58:64" ht="15" customHeight="1" x14ac:dyDescent="0.25">
      <c r="BF325" s="15"/>
      <c r="BG325" s="15"/>
      <c r="BH325" s="15"/>
      <c r="BI325" s="16"/>
      <c r="BJ325" s="16"/>
      <c r="BK325" s="16"/>
      <c r="BL325" s="16"/>
    </row>
    <row r="326" spans="58:64" ht="15" customHeight="1" x14ac:dyDescent="0.25">
      <c r="BF326" s="15"/>
      <c r="BG326" s="15"/>
      <c r="BH326" s="15"/>
      <c r="BI326" s="16"/>
      <c r="BJ326" s="16"/>
      <c r="BK326" s="16"/>
      <c r="BL326" s="16"/>
    </row>
    <row r="327" spans="58:64" ht="15" customHeight="1" x14ac:dyDescent="0.25">
      <c r="BF327" s="15"/>
      <c r="BG327" s="15"/>
      <c r="BH327" s="15"/>
      <c r="BI327" s="16"/>
      <c r="BJ327" s="16"/>
      <c r="BK327" s="16"/>
      <c r="BL327" s="16"/>
    </row>
    <row r="328" spans="58:64" ht="15" customHeight="1" x14ac:dyDescent="0.25">
      <c r="BF328" s="15"/>
      <c r="BG328" s="15"/>
      <c r="BH328" s="15"/>
      <c r="BI328" s="16"/>
      <c r="BJ328" s="16"/>
      <c r="BK328" s="16"/>
      <c r="BL328" s="16"/>
    </row>
    <row r="329" spans="58:64" ht="15" customHeight="1" x14ac:dyDescent="0.25">
      <c r="BF329" s="15"/>
      <c r="BG329" s="15"/>
      <c r="BH329" s="15"/>
      <c r="BI329" s="16"/>
      <c r="BJ329" s="16"/>
      <c r="BK329" s="16"/>
      <c r="BL329" s="16"/>
    </row>
    <row r="330" spans="58:64" ht="15" customHeight="1" x14ac:dyDescent="0.25">
      <c r="BF330" s="15"/>
      <c r="BG330" s="15"/>
      <c r="BH330" s="15"/>
      <c r="BI330" s="16"/>
      <c r="BJ330" s="16"/>
      <c r="BK330" s="16"/>
      <c r="BL330" s="16"/>
    </row>
    <row r="331" spans="58:64" ht="15" customHeight="1" x14ac:dyDescent="0.25">
      <c r="BF331" s="15"/>
      <c r="BG331" s="15"/>
      <c r="BH331" s="15"/>
      <c r="BI331" s="16"/>
      <c r="BJ331" s="16"/>
      <c r="BK331" s="16"/>
      <c r="BL331" s="16"/>
    </row>
    <row r="332" spans="58:64" ht="15" customHeight="1" x14ac:dyDescent="0.25">
      <c r="BF332" s="15"/>
      <c r="BG332" s="15"/>
      <c r="BH332" s="15"/>
      <c r="BI332" s="16"/>
      <c r="BJ332" s="16"/>
      <c r="BK332" s="16"/>
      <c r="BL332" s="16"/>
    </row>
    <row r="333" spans="58:64" ht="15" customHeight="1" x14ac:dyDescent="0.25">
      <c r="BF333" s="15"/>
      <c r="BG333" s="15"/>
      <c r="BH333" s="15"/>
      <c r="BI333" s="16"/>
      <c r="BJ333" s="16"/>
      <c r="BK333" s="16"/>
      <c r="BL333" s="16"/>
    </row>
    <row r="334" spans="58:64" ht="15" customHeight="1" x14ac:dyDescent="0.25">
      <c r="BF334" s="15"/>
      <c r="BG334" s="15"/>
      <c r="BH334" s="15"/>
      <c r="BI334" s="16"/>
      <c r="BJ334" s="16"/>
      <c r="BK334" s="16"/>
      <c r="BL334" s="16"/>
    </row>
    <row r="335" spans="58:64" ht="15" customHeight="1" x14ac:dyDescent="0.25">
      <c r="BF335" s="15"/>
      <c r="BG335" s="15"/>
      <c r="BH335" s="15"/>
      <c r="BI335" s="16"/>
      <c r="BJ335" s="16"/>
      <c r="BK335" s="16"/>
      <c r="BL335" s="16"/>
    </row>
    <row r="336" spans="58:64" ht="15" customHeight="1" x14ac:dyDescent="0.25">
      <c r="BF336" s="15"/>
      <c r="BG336" s="15"/>
      <c r="BH336" s="15"/>
      <c r="BI336" s="16"/>
      <c r="BJ336" s="16"/>
      <c r="BK336" s="16"/>
      <c r="BL336" s="16"/>
    </row>
    <row r="337" spans="58:64" ht="15" customHeight="1" x14ac:dyDescent="0.25">
      <c r="BF337" s="15"/>
      <c r="BG337" s="15"/>
      <c r="BH337" s="15"/>
      <c r="BI337" s="16"/>
      <c r="BJ337" s="16"/>
      <c r="BK337" s="16"/>
      <c r="BL337" s="16"/>
    </row>
    <row r="338" spans="58:64" ht="15" customHeight="1" x14ac:dyDescent="0.25">
      <c r="BF338" s="15"/>
      <c r="BG338" s="15"/>
      <c r="BH338" s="15"/>
      <c r="BI338" s="16"/>
      <c r="BJ338" s="16"/>
      <c r="BK338" s="16"/>
      <c r="BL338" s="16"/>
    </row>
    <row r="339" spans="58:64" ht="15" customHeight="1" x14ac:dyDescent="0.25">
      <c r="BF339" s="15"/>
      <c r="BG339" s="15"/>
      <c r="BH339" s="15"/>
      <c r="BI339" s="16"/>
      <c r="BJ339" s="16"/>
      <c r="BK339" s="16"/>
      <c r="BL339" s="16"/>
    </row>
    <row r="340" spans="58:64" ht="15" customHeight="1" x14ac:dyDescent="0.25">
      <c r="BF340" s="15"/>
      <c r="BG340" s="15"/>
      <c r="BH340" s="15"/>
      <c r="BI340" s="16"/>
      <c r="BJ340" s="16"/>
      <c r="BK340" s="16"/>
      <c r="BL340" s="16"/>
    </row>
  </sheetData>
  <sheetProtection algorithmName="SHA-512" hashValue="ca8Bj42z44s5dRUsT/0K/B7ONLi7s10Nc+XVuDcKTHtDUSM33x1LKYyj+QIS+KDWliP+VBEU4sffJ4bwRjv0gA==" saltValue="r3T6emHwWuMA24KubRg2dw==" spinCount="100000" sheet="1" objects="1" scenarios="1" selectLockedCells="1"/>
  <mergeCells count="80">
    <mergeCell ref="G189:H189"/>
    <mergeCell ref="F191:G192"/>
    <mergeCell ref="K192:K193"/>
    <mergeCell ref="N192:N193"/>
    <mergeCell ref="J178:K178"/>
    <mergeCell ref="J179:K179"/>
    <mergeCell ref="J180:K180"/>
    <mergeCell ref="J181:K181"/>
    <mergeCell ref="L184:M184"/>
    <mergeCell ref="G188:H188"/>
    <mergeCell ref="J172:K172"/>
    <mergeCell ref="J173:K173"/>
    <mergeCell ref="J174:K174"/>
    <mergeCell ref="J175:N175"/>
    <mergeCell ref="J176:K176"/>
    <mergeCell ref="J177:K177"/>
    <mergeCell ref="J66:M66"/>
    <mergeCell ref="F112:N112"/>
    <mergeCell ref="F166:I166"/>
    <mergeCell ref="J168:L168"/>
    <mergeCell ref="J170:N170"/>
    <mergeCell ref="J171:N171"/>
    <mergeCell ref="P46:R46"/>
    <mergeCell ref="S46:U46"/>
    <mergeCell ref="P48:R48"/>
    <mergeCell ref="P49:R49"/>
    <mergeCell ref="F50:G50"/>
    <mergeCell ref="J57:M57"/>
    <mergeCell ref="F37:H37"/>
    <mergeCell ref="I37:L37"/>
    <mergeCell ref="Z37:AA37"/>
    <mergeCell ref="P43:Q43"/>
    <mergeCell ref="F44:N45"/>
    <mergeCell ref="P45:U45"/>
    <mergeCell ref="P24:R24"/>
    <mergeCell ref="D31:E31"/>
    <mergeCell ref="P34:T34"/>
    <mergeCell ref="V34:W34"/>
    <mergeCell ref="P35:Q36"/>
    <mergeCell ref="R35:T35"/>
    <mergeCell ref="V35:W35"/>
    <mergeCell ref="P20:Q20"/>
    <mergeCell ref="AU20:AV20"/>
    <mergeCell ref="P21:Q21"/>
    <mergeCell ref="AU21:AV21"/>
    <mergeCell ref="H23:I23"/>
    <mergeCell ref="S23:T23"/>
    <mergeCell ref="P17:Q17"/>
    <mergeCell ref="AU17:AV17"/>
    <mergeCell ref="P18:Q18"/>
    <mergeCell ref="AU18:AV18"/>
    <mergeCell ref="P19:Q19"/>
    <mergeCell ref="AU19:AV19"/>
    <mergeCell ref="P14:Q14"/>
    <mergeCell ref="AU14:AV14"/>
    <mergeCell ref="P15:T15"/>
    <mergeCell ref="AU15:AX15"/>
    <mergeCell ref="P16:Q16"/>
    <mergeCell ref="AU16:AV16"/>
    <mergeCell ref="P11:Q11"/>
    <mergeCell ref="AU11:AV11"/>
    <mergeCell ref="P12:Q12"/>
    <mergeCell ref="AU12:AV12"/>
    <mergeCell ref="P13:Q13"/>
    <mergeCell ref="AU13:AV13"/>
    <mergeCell ref="U8:AC8"/>
    <mergeCell ref="AD8:AQ8"/>
    <mergeCell ref="AR8:AS8"/>
    <mergeCell ref="D9:E9"/>
    <mergeCell ref="P10:T10"/>
    <mergeCell ref="AU10:AX10"/>
    <mergeCell ref="K1:N1"/>
    <mergeCell ref="AZ1:BD1"/>
    <mergeCell ref="K2:N2"/>
    <mergeCell ref="H3:I3"/>
    <mergeCell ref="K3:N3"/>
    <mergeCell ref="H5:I5"/>
    <mergeCell ref="J5:N6"/>
    <mergeCell ref="P5:T6"/>
    <mergeCell ref="H6:I6"/>
  </mergeCells>
  <conditionalFormatting sqref="L39:L40 H39:H42">
    <cfRule type="cellIs" dxfId="32" priority="33" stopIfTrue="1" operator="greaterThan">
      <formula>1</formula>
    </cfRule>
  </conditionalFormatting>
  <conditionalFormatting sqref="I43">
    <cfRule type="expression" dxfId="31" priority="31" stopIfTrue="1">
      <formula>MAX(M212,M214,M216,M218)&lt;=1</formula>
    </cfRule>
    <cfRule type="cellIs" dxfId="30" priority="32" stopIfTrue="1" operator="greaterThan">
      <formula>1</formula>
    </cfRule>
  </conditionalFormatting>
  <conditionalFormatting sqref="F43:G43 I43">
    <cfRule type="expression" dxfId="29" priority="30" stopIfTrue="1">
      <formula>$N$168=0</formula>
    </cfRule>
  </conditionalFormatting>
  <conditionalFormatting sqref="L41">
    <cfRule type="cellIs" dxfId="28" priority="29" stopIfTrue="1" operator="greaterThan">
      <formula>1</formula>
    </cfRule>
  </conditionalFormatting>
  <conditionalFormatting sqref="N37">
    <cfRule type="cellIs" dxfId="27" priority="28" stopIfTrue="1" operator="equal">
      <formula>"OK!"</formula>
    </cfRule>
  </conditionalFormatting>
  <conditionalFormatting sqref="M96">
    <cfRule type="cellIs" dxfId="26" priority="27" stopIfTrue="1" operator="greaterThan">
      <formula>1</formula>
    </cfRule>
  </conditionalFormatting>
  <conditionalFormatting sqref="N96">
    <cfRule type="cellIs" dxfId="25" priority="26" stopIfTrue="1" operator="equal">
      <formula>"NO!"</formula>
    </cfRule>
  </conditionalFormatting>
  <conditionalFormatting sqref="M99">
    <cfRule type="cellIs" dxfId="24" priority="25" stopIfTrue="1" operator="greaterThan">
      <formula>1</formula>
    </cfRule>
  </conditionalFormatting>
  <conditionalFormatting sqref="N99">
    <cfRule type="cellIs" dxfId="23" priority="24" stopIfTrue="1" operator="equal">
      <formula>"NO!"</formula>
    </cfRule>
  </conditionalFormatting>
  <conditionalFormatting sqref="M102">
    <cfRule type="cellIs" dxfId="22" priority="23" stopIfTrue="1" operator="greaterThan">
      <formula>1</formula>
    </cfRule>
  </conditionalFormatting>
  <conditionalFormatting sqref="N102">
    <cfRule type="cellIs" dxfId="21" priority="22" stopIfTrue="1" operator="equal">
      <formula>"NO!"</formula>
    </cfRule>
  </conditionalFormatting>
  <conditionalFormatting sqref="M212">
    <cfRule type="cellIs" dxfId="20" priority="21" stopIfTrue="1" operator="greaterThan">
      <formula>1</formula>
    </cfRule>
  </conditionalFormatting>
  <conditionalFormatting sqref="N212">
    <cfRule type="cellIs" dxfId="19" priority="20" stopIfTrue="1" operator="equal">
      <formula>"NO!"</formula>
    </cfRule>
  </conditionalFormatting>
  <conditionalFormatting sqref="M214">
    <cfRule type="cellIs" dxfId="18" priority="19" stopIfTrue="1" operator="greaterThan">
      <formula>1</formula>
    </cfRule>
  </conditionalFormatting>
  <conditionalFormatting sqref="N214">
    <cfRule type="cellIs" dxfId="17" priority="18" stopIfTrue="1" operator="equal">
      <formula>"NO!"</formula>
    </cfRule>
  </conditionalFormatting>
  <conditionalFormatting sqref="M216">
    <cfRule type="cellIs" dxfId="16" priority="17" stopIfTrue="1" operator="greaterThan">
      <formula>1</formula>
    </cfRule>
  </conditionalFormatting>
  <conditionalFormatting sqref="N216">
    <cfRule type="cellIs" dxfId="15" priority="16" stopIfTrue="1" operator="equal">
      <formula>"NO!"</formula>
    </cfRule>
  </conditionalFormatting>
  <conditionalFormatting sqref="M218">
    <cfRule type="cellIs" dxfId="14" priority="13" stopIfTrue="1" operator="equal">
      <formula>"/"</formula>
    </cfRule>
    <cfRule type="cellIs" dxfId="13" priority="15" stopIfTrue="1" operator="greaterThan">
      <formula>1</formula>
    </cfRule>
  </conditionalFormatting>
  <conditionalFormatting sqref="N218">
    <cfRule type="cellIs" dxfId="12" priority="14" stopIfTrue="1" operator="equal">
      <formula>"NO!"</formula>
    </cfRule>
  </conditionalFormatting>
  <conditionalFormatting sqref="M105">
    <cfRule type="cellIs" dxfId="11" priority="10" stopIfTrue="1" operator="equal">
      <formula>"/"</formula>
    </cfRule>
    <cfRule type="cellIs" dxfId="10" priority="12" stopIfTrue="1" operator="greaterThan">
      <formula>1</formula>
    </cfRule>
  </conditionalFormatting>
  <conditionalFormatting sqref="N105">
    <cfRule type="cellIs" dxfId="9" priority="11" stopIfTrue="1" operator="equal">
      <formula>"NO!"</formula>
    </cfRule>
  </conditionalFormatting>
  <conditionalFormatting sqref="M140">
    <cfRule type="cellIs" dxfId="8" priority="7" stopIfTrue="1" operator="equal">
      <formula>"/"</formula>
    </cfRule>
    <cfRule type="cellIs" dxfId="7" priority="9" stopIfTrue="1" operator="greaterThan">
      <formula>1</formula>
    </cfRule>
  </conditionalFormatting>
  <conditionalFormatting sqref="N140">
    <cfRule type="cellIs" dxfId="6" priority="8" stopIfTrue="1" operator="equal">
      <formula>"NO!"</formula>
    </cfRule>
  </conditionalFormatting>
  <conditionalFormatting sqref="M146">
    <cfRule type="cellIs" dxfId="5" priority="4" stopIfTrue="1" operator="equal">
      <formula>"/"</formula>
    </cfRule>
    <cfRule type="cellIs" dxfId="4" priority="6" stopIfTrue="1" operator="greaterThan">
      <formula>1</formula>
    </cfRule>
  </conditionalFormatting>
  <conditionalFormatting sqref="N146">
    <cfRule type="cellIs" dxfId="3" priority="5" stopIfTrue="1" operator="equal">
      <formula>"NO!"</formula>
    </cfRule>
  </conditionalFormatting>
  <conditionalFormatting sqref="M152">
    <cfRule type="cellIs" dxfId="2" priority="1" stopIfTrue="1" operator="equal">
      <formula>"/"</formula>
    </cfRule>
    <cfRule type="cellIs" dxfId="1" priority="3" stopIfTrue="1" operator="greaterThan">
      <formula>1</formula>
    </cfRule>
  </conditionalFormatting>
  <conditionalFormatting sqref="N152">
    <cfRule type="cellIs" dxfId="0" priority="2" stopIfTrue="1" operator="equal">
      <formula>"NO!"</formula>
    </cfRule>
  </conditionalFormatting>
  <dataValidations count="7">
    <dataValidation type="list" allowBlank="1" showInputMessage="1" showErrorMessage="1" sqref="H6:I6 JD6:JE6 SZ6:TA6 ACV6:ACW6 AMR6:AMS6 AWN6:AWO6 BGJ6:BGK6 BQF6:BQG6 CAB6:CAC6 CJX6:CJY6 CTT6:CTU6 DDP6:DDQ6 DNL6:DNM6 DXH6:DXI6 EHD6:EHE6 EQZ6:ERA6 FAV6:FAW6 FKR6:FKS6 FUN6:FUO6 GEJ6:GEK6 GOF6:GOG6 GYB6:GYC6 HHX6:HHY6 HRT6:HRU6 IBP6:IBQ6 ILL6:ILM6 IVH6:IVI6 JFD6:JFE6 JOZ6:JPA6 JYV6:JYW6 KIR6:KIS6 KSN6:KSO6 LCJ6:LCK6 LMF6:LMG6 LWB6:LWC6 MFX6:MFY6 MPT6:MPU6 MZP6:MZQ6 NJL6:NJM6 NTH6:NTI6 ODD6:ODE6 OMZ6:ONA6 OWV6:OWW6 PGR6:PGS6 PQN6:PQO6 QAJ6:QAK6 QKF6:QKG6 QUB6:QUC6 RDX6:RDY6 RNT6:RNU6 RXP6:RXQ6 SHL6:SHM6 SRH6:SRI6 TBD6:TBE6 TKZ6:TLA6 TUV6:TUW6 UER6:UES6 UON6:UOO6 UYJ6:UYK6 VIF6:VIG6 VSB6:VSC6 WBX6:WBY6 WLT6:WLU6 WVP6:WVQ6 H65542:I65542 JD65542:JE65542 SZ65542:TA65542 ACV65542:ACW65542 AMR65542:AMS65542 AWN65542:AWO65542 BGJ65542:BGK65542 BQF65542:BQG65542 CAB65542:CAC65542 CJX65542:CJY65542 CTT65542:CTU65542 DDP65542:DDQ65542 DNL65542:DNM65542 DXH65542:DXI65542 EHD65542:EHE65542 EQZ65542:ERA65542 FAV65542:FAW65542 FKR65542:FKS65542 FUN65542:FUO65542 GEJ65542:GEK65542 GOF65542:GOG65542 GYB65542:GYC65542 HHX65542:HHY65542 HRT65542:HRU65542 IBP65542:IBQ65542 ILL65542:ILM65542 IVH65542:IVI65542 JFD65542:JFE65542 JOZ65542:JPA65542 JYV65542:JYW65542 KIR65542:KIS65542 KSN65542:KSO65542 LCJ65542:LCK65542 LMF65542:LMG65542 LWB65542:LWC65542 MFX65542:MFY65542 MPT65542:MPU65542 MZP65542:MZQ65542 NJL65542:NJM65542 NTH65542:NTI65542 ODD65542:ODE65542 OMZ65542:ONA65542 OWV65542:OWW65542 PGR65542:PGS65542 PQN65542:PQO65542 QAJ65542:QAK65542 QKF65542:QKG65542 QUB65542:QUC65542 RDX65542:RDY65542 RNT65542:RNU65542 RXP65542:RXQ65542 SHL65542:SHM65542 SRH65542:SRI65542 TBD65542:TBE65542 TKZ65542:TLA65542 TUV65542:TUW65542 UER65542:UES65542 UON65542:UOO65542 UYJ65542:UYK65542 VIF65542:VIG65542 VSB65542:VSC65542 WBX65542:WBY65542 WLT65542:WLU65542 WVP65542:WVQ65542 H131078:I131078 JD131078:JE131078 SZ131078:TA131078 ACV131078:ACW131078 AMR131078:AMS131078 AWN131078:AWO131078 BGJ131078:BGK131078 BQF131078:BQG131078 CAB131078:CAC131078 CJX131078:CJY131078 CTT131078:CTU131078 DDP131078:DDQ131078 DNL131078:DNM131078 DXH131078:DXI131078 EHD131078:EHE131078 EQZ131078:ERA131078 FAV131078:FAW131078 FKR131078:FKS131078 FUN131078:FUO131078 GEJ131078:GEK131078 GOF131078:GOG131078 GYB131078:GYC131078 HHX131078:HHY131078 HRT131078:HRU131078 IBP131078:IBQ131078 ILL131078:ILM131078 IVH131078:IVI131078 JFD131078:JFE131078 JOZ131078:JPA131078 JYV131078:JYW131078 KIR131078:KIS131078 KSN131078:KSO131078 LCJ131078:LCK131078 LMF131078:LMG131078 LWB131078:LWC131078 MFX131078:MFY131078 MPT131078:MPU131078 MZP131078:MZQ131078 NJL131078:NJM131078 NTH131078:NTI131078 ODD131078:ODE131078 OMZ131078:ONA131078 OWV131078:OWW131078 PGR131078:PGS131078 PQN131078:PQO131078 QAJ131078:QAK131078 QKF131078:QKG131078 QUB131078:QUC131078 RDX131078:RDY131078 RNT131078:RNU131078 RXP131078:RXQ131078 SHL131078:SHM131078 SRH131078:SRI131078 TBD131078:TBE131078 TKZ131078:TLA131078 TUV131078:TUW131078 UER131078:UES131078 UON131078:UOO131078 UYJ131078:UYK131078 VIF131078:VIG131078 VSB131078:VSC131078 WBX131078:WBY131078 WLT131078:WLU131078 WVP131078:WVQ131078 H196614:I196614 JD196614:JE196614 SZ196614:TA196614 ACV196614:ACW196614 AMR196614:AMS196614 AWN196614:AWO196614 BGJ196614:BGK196614 BQF196614:BQG196614 CAB196614:CAC196614 CJX196614:CJY196614 CTT196614:CTU196614 DDP196614:DDQ196614 DNL196614:DNM196614 DXH196614:DXI196614 EHD196614:EHE196614 EQZ196614:ERA196614 FAV196614:FAW196614 FKR196614:FKS196614 FUN196614:FUO196614 GEJ196614:GEK196614 GOF196614:GOG196614 GYB196614:GYC196614 HHX196614:HHY196614 HRT196614:HRU196614 IBP196614:IBQ196614 ILL196614:ILM196614 IVH196614:IVI196614 JFD196614:JFE196614 JOZ196614:JPA196614 JYV196614:JYW196614 KIR196614:KIS196614 KSN196614:KSO196614 LCJ196614:LCK196614 LMF196614:LMG196614 LWB196614:LWC196614 MFX196614:MFY196614 MPT196614:MPU196614 MZP196614:MZQ196614 NJL196614:NJM196614 NTH196614:NTI196614 ODD196614:ODE196614 OMZ196614:ONA196614 OWV196614:OWW196614 PGR196614:PGS196614 PQN196614:PQO196614 QAJ196614:QAK196614 QKF196614:QKG196614 QUB196614:QUC196614 RDX196614:RDY196614 RNT196614:RNU196614 RXP196614:RXQ196614 SHL196614:SHM196614 SRH196614:SRI196614 TBD196614:TBE196614 TKZ196614:TLA196614 TUV196614:TUW196614 UER196614:UES196614 UON196614:UOO196614 UYJ196614:UYK196614 VIF196614:VIG196614 VSB196614:VSC196614 WBX196614:WBY196614 WLT196614:WLU196614 WVP196614:WVQ196614 H262150:I262150 JD262150:JE262150 SZ262150:TA262150 ACV262150:ACW262150 AMR262150:AMS262150 AWN262150:AWO262150 BGJ262150:BGK262150 BQF262150:BQG262150 CAB262150:CAC262150 CJX262150:CJY262150 CTT262150:CTU262150 DDP262150:DDQ262150 DNL262150:DNM262150 DXH262150:DXI262150 EHD262150:EHE262150 EQZ262150:ERA262150 FAV262150:FAW262150 FKR262150:FKS262150 FUN262150:FUO262150 GEJ262150:GEK262150 GOF262150:GOG262150 GYB262150:GYC262150 HHX262150:HHY262150 HRT262150:HRU262150 IBP262150:IBQ262150 ILL262150:ILM262150 IVH262150:IVI262150 JFD262150:JFE262150 JOZ262150:JPA262150 JYV262150:JYW262150 KIR262150:KIS262150 KSN262150:KSO262150 LCJ262150:LCK262150 LMF262150:LMG262150 LWB262150:LWC262150 MFX262150:MFY262150 MPT262150:MPU262150 MZP262150:MZQ262150 NJL262150:NJM262150 NTH262150:NTI262150 ODD262150:ODE262150 OMZ262150:ONA262150 OWV262150:OWW262150 PGR262150:PGS262150 PQN262150:PQO262150 QAJ262150:QAK262150 QKF262150:QKG262150 QUB262150:QUC262150 RDX262150:RDY262150 RNT262150:RNU262150 RXP262150:RXQ262150 SHL262150:SHM262150 SRH262150:SRI262150 TBD262150:TBE262150 TKZ262150:TLA262150 TUV262150:TUW262150 UER262150:UES262150 UON262150:UOO262150 UYJ262150:UYK262150 VIF262150:VIG262150 VSB262150:VSC262150 WBX262150:WBY262150 WLT262150:WLU262150 WVP262150:WVQ262150 H327686:I327686 JD327686:JE327686 SZ327686:TA327686 ACV327686:ACW327686 AMR327686:AMS327686 AWN327686:AWO327686 BGJ327686:BGK327686 BQF327686:BQG327686 CAB327686:CAC327686 CJX327686:CJY327686 CTT327686:CTU327686 DDP327686:DDQ327686 DNL327686:DNM327686 DXH327686:DXI327686 EHD327686:EHE327686 EQZ327686:ERA327686 FAV327686:FAW327686 FKR327686:FKS327686 FUN327686:FUO327686 GEJ327686:GEK327686 GOF327686:GOG327686 GYB327686:GYC327686 HHX327686:HHY327686 HRT327686:HRU327686 IBP327686:IBQ327686 ILL327686:ILM327686 IVH327686:IVI327686 JFD327686:JFE327686 JOZ327686:JPA327686 JYV327686:JYW327686 KIR327686:KIS327686 KSN327686:KSO327686 LCJ327686:LCK327686 LMF327686:LMG327686 LWB327686:LWC327686 MFX327686:MFY327686 MPT327686:MPU327686 MZP327686:MZQ327686 NJL327686:NJM327686 NTH327686:NTI327686 ODD327686:ODE327686 OMZ327686:ONA327686 OWV327686:OWW327686 PGR327686:PGS327686 PQN327686:PQO327686 QAJ327686:QAK327686 QKF327686:QKG327686 QUB327686:QUC327686 RDX327686:RDY327686 RNT327686:RNU327686 RXP327686:RXQ327686 SHL327686:SHM327686 SRH327686:SRI327686 TBD327686:TBE327686 TKZ327686:TLA327686 TUV327686:TUW327686 UER327686:UES327686 UON327686:UOO327686 UYJ327686:UYK327686 VIF327686:VIG327686 VSB327686:VSC327686 WBX327686:WBY327686 WLT327686:WLU327686 WVP327686:WVQ327686 H393222:I393222 JD393222:JE393222 SZ393222:TA393222 ACV393222:ACW393222 AMR393222:AMS393222 AWN393222:AWO393222 BGJ393222:BGK393222 BQF393222:BQG393222 CAB393222:CAC393222 CJX393222:CJY393222 CTT393222:CTU393222 DDP393222:DDQ393222 DNL393222:DNM393222 DXH393222:DXI393222 EHD393222:EHE393222 EQZ393222:ERA393222 FAV393222:FAW393222 FKR393222:FKS393222 FUN393222:FUO393222 GEJ393222:GEK393222 GOF393222:GOG393222 GYB393222:GYC393222 HHX393222:HHY393222 HRT393222:HRU393222 IBP393222:IBQ393222 ILL393222:ILM393222 IVH393222:IVI393222 JFD393222:JFE393222 JOZ393222:JPA393222 JYV393222:JYW393222 KIR393222:KIS393222 KSN393222:KSO393222 LCJ393222:LCK393222 LMF393222:LMG393222 LWB393222:LWC393222 MFX393222:MFY393222 MPT393222:MPU393222 MZP393222:MZQ393222 NJL393222:NJM393222 NTH393222:NTI393222 ODD393222:ODE393222 OMZ393222:ONA393222 OWV393222:OWW393222 PGR393222:PGS393222 PQN393222:PQO393222 QAJ393222:QAK393222 QKF393222:QKG393222 QUB393222:QUC393222 RDX393222:RDY393222 RNT393222:RNU393222 RXP393222:RXQ393222 SHL393222:SHM393222 SRH393222:SRI393222 TBD393222:TBE393222 TKZ393222:TLA393222 TUV393222:TUW393222 UER393222:UES393222 UON393222:UOO393222 UYJ393222:UYK393222 VIF393222:VIG393222 VSB393222:VSC393222 WBX393222:WBY393222 WLT393222:WLU393222 WVP393222:WVQ393222 H458758:I458758 JD458758:JE458758 SZ458758:TA458758 ACV458758:ACW458758 AMR458758:AMS458758 AWN458758:AWO458758 BGJ458758:BGK458758 BQF458758:BQG458758 CAB458758:CAC458758 CJX458758:CJY458758 CTT458758:CTU458758 DDP458758:DDQ458758 DNL458758:DNM458758 DXH458758:DXI458758 EHD458758:EHE458758 EQZ458758:ERA458758 FAV458758:FAW458758 FKR458758:FKS458758 FUN458758:FUO458758 GEJ458758:GEK458758 GOF458758:GOG458758 GYB458758:GYC458758 HHX458758:HHY458758 HRT458758:HRU458758 IBP458758:IBQ458758 ILL458758:ILM458758 IVH458758:IVI458758 JFD458758:JFE458758 JOZ458758:JPA458758 JYV458758:JYW458758 KIR458758:KIS458758 KSN458758:KSO458758 LCJ458758:LCK458758 LMF458758:LMG458758 LWB458758:LWC458758 MFX458758:MFY458758 MPT458758:MPU458758 MZP458758:MZQ458758 NJL458758:NJM458758 NTH458758:NTI458758 ODD458758:ODE458758 OMZ458758:ONA458758 OWV458758:OWW458758 PGR458758:PGS458758 PQN458758:PQO458758 QAJ458758:QAK458758 QKF458758:QKG458758 QUB458758:QUC458758 RDX458758:RDY458758 RNT458758:RNU458758 RXP458758:RXQ458758 SHL458758:SHM458758 SRH458758:SRI458758 TBD458758:TBE458758 TKZ458758:TLA458758 TUV458758:TUW458758 UER458758:UES458758 UON458758:UOO458758 UYJ458758:UYK458758 VIF458758:VIG458758 VSB458758:VSC458758 WBX458758:WBY458758 WLT458758:WLU458758 WVP458758:WVQ458758 H524294:I524294 JD524294:JE524294 SZ524294:TA524294 ACV524294:ACW524294 AMR524294:AMS524294 AWN524294:AWO524294 BGJ524294:BGK524294 BQF524294:BQG524294 CAB524294:CAC524294 CJX524294:CJY524294 CTT524294:CTU524294 DDP524294:DDQ524294 DNL524294:DNM524294 DXH524294:DXI524294 EHD524294:EHE524294 EQZ524294:ERA524294 FAV524294:FAW524294 FKR524294:FKS524294 FUN524294:FUO524294 GEJ524294:GEK524294 GOF524294:GOG524294 GYB524294:GYC524294 HHX524294:HHY524294 HRT524294:HRU524294 IBP524294:IBQ524294 ILL524294:ILM524294 IVH524294:IVI524294 JFD524294:JFE524294 JOZ524294:JPA524294 JYV524294:JYW524294 KIR524294:KIS524294 KSN524294:KSO524294 LCJ524294:LCK524294 LMF524294:LMG524294 LWB524294:LWC524294 MFX524294:MFY524294 MPT524294:MPU524294 MZP524294:MZQ524294 NJL524294:NJM524294 NTH524294:NTI524294 ODD524294:ODE524294 OMZ524294:ONA524294 OWV524294:OWW524294 PGR524294:PGS524294 PQN524294:PQO524294 QAJ524294:QAK524294 QKF524294:QKG524294 QUB524294:QUC524294 RDX524294:RDY524294 RNT524294:RNU524294 RXP524294:RXQ524294 SHL524294:SHM524294 SRH524294:SRI524294 TBD524294:TBE524294 TKZ524294:TLA524294 TUV524294:TUW524294 UER524294:UES524294 UON524294:UOO524294 UYJ524294:UYK524294 VIF524294:VIG524294 VSB524294:VSC524294 WBX524294:WBY524294 WLT524294:WLU524294 WVP524294:WVQ524294 H589830:I589830 JD589830:JE589830 SZ589830:TA589830 ACV589830:ACW589830 AMR589830:AMS589830 AWN589830:AWO589830 BGJ589830:BGK589830 BQF589830:BQG589830 CAB589830:CAC589830 CJX589830:CJY589830 CTT589830:CTU589830 DDP589830:DDQ589830 DNL589830:DNM589830 DXH589830:DXI589830 EHD589830:EHE589830 EQZ589830:ERA589830 FAV589830:FAW589830 FKR589830:FKS589830 FUN589830:FUO589830 GEJ589830:GEK589830 GOF589830:GOG589830 GYB589830:GYC589830 HHX589830:HHY589830 HRT589830:HRU589830 IBP589830:IBQ589830 ILL589830:ILM589830 IVH589830:IVI589830 JFD589830:JFE589830 JOZ589830:JPA589830 JYV589830:JYW589830 KIR589830:KIS589830 KSN589830:KSO589830 LCJ589830:LCK589830 LMF589830:LMG589830 LWB589830:LWC589830 MFX589830:MFY589830 MPT589830:MPU589830 MZP589830:MZQ589830 NJL589830:NJM589830 NTH589830:NTI589830 ODD589830:ODE589830 OMZ589830:ONA589830 OWV589830:OWW589830 PGR589830:PGS589830 PQN589830:PQO589830 QAJ589830:QAK589830 QKF589830:QKG589830 QUB589830:QUC589830 RDX589830:RDY589830 RNT589830:RNU589830 RXP589830:RXQ589830 SHL589830:SHM589830 SRH589830:SRI589830 TBD589830:TBE589830 TKZ589830:TLA589830 TUV589830:TUW589830 UER589830:UES589830 UON589830:UOO589830 UYJ589830:UYK589830 VIF589830:VIG589830 VSB589830:VSC589830 WBX589830:WBY589830 WLT589830:WLU589830 WVP589830:WVQ589830 H655366:I655366 JD655366:JE655366 SZ655366:TA655366 ACV655366:ACW655366 AMR655366:AMS655366 AWN655366:AWO655366 BGJ655366:BGK655366 BQF655366:BQG655366 CAB655366:CAC655366 CJX655366:CJY655366 CTT655366:CTU655366 DDP655366:DDQ655366 DNL655366:DNM655366 DXH655366:DXI655366 EHD655366:EHE655366 EQZ655366:ERA655366 FAV655366:FAW655366 FKR655366:FKS655366 FUN655366:FUO655366 GEJ655366:GEK655366 GOF655366:GOG655366 GYB655366:GYC655366 HHX655366:HHY655366 HRT655366:HRU655366 IBP655366:IBQ655366 ILL655366:ILM655366 IVH655366:IVI655366 JFD655366:JFE655366 JOZ655366:JPA655366 JYV655366:JYW655366 KIR655366:KIS655366 KSN655366:KSO655366 LCJ655366:LCK655366 LMF655366:LMG655366 LWB655366:LWC655366 MFX655366:MFY655366 MPT655366:MPU655366 MZP655366:MZQ655366 NJL655366:NJM655366 NTH655366:NTI655366 ODD655366:ODE655366 OMZ655366:ONA655366 OWV655366:OWW655366 PGR655366:PGS655366 PQN655366:PQO655366 QAJ655366:QAK655366 QKF655366:QKG655366 QUB655366:QUC655366 RDX655366:RDY655366 RNT655366:RNU655366 RXP655366:RXQ655366 SHL655366:SHM655366 SRH655366:SRI655366 TBD655366:TBE655366 TKZ655366:TLA655366 TUV655366:TUW655366 UER655366:UES655366 UON655366:UOO655366 UYJ655366:UYK655366 VIF655366:VIG655366 VSB655366:VSC655366 WBX655366:WBY655366 WLT655366:WLU655366 WVP655366:WVQ655366 H720902:I720902 JD720902:JE720902 SZ720902:TA720902 ACV720902:ACW720902 AMR720902:AMS720902 AWN720902:AWO720902 BGJ720902:BGK720902 BQF720902:BQG720902 CAB720902:CAC720902 CJX720902:CJY720902 CTT720902:CTU720902 DDP720902:DDQ720902 DNL720902:DNM720902 DXH720902:DXI720902 EHD720902:EHE720902 EQZ720902:ERA720902 FAV720902:FAW720902 FKR720902:FKS720902 FUN720902:FUO720902 GEJ720902:GEK720902 GOF720902:GOG720902 GYB720902:GYC720902 HHX720902:HHY720902 HRT720902:HRU720902 IBP720902:IBQ720902 ILL720902:ILM720902 IVH720902:IVI720902 JFD720902:JFE720902 JOZ720902:JPA720902 JYV720902:JYW720902 KIR720902:KIS720902 KSN720902:KSO720902 LCJ720902:LCK720902 LMF720902:LMG720902 LWB720902:LWC720902 MFX720902:MFY720902 MPT720902:MPU720902 MZP720902:MZQ720902 NJL720902:NJM720902 NTH720902:NTI720902 ODD720902:ODE720902 OMZ720902:ONA720902 OWV720902:OWW720902 PGR720902:PGS720902 PQN720902:PQO720902 QAJ720902:QAK720902 QKF720902:QKG720902 QUB720902:QUC720902 RDX720902:RDY720902 RNT720902:RNU720902 RXP720902:RXQ720902 SHL720902:SHM720902 SRH720902:SRI720902 TBD720902:TBE720902 TKZ720902:TLA720902 TUV720902:TUW720902 UER720902:UES720902 UON720902:UOO720902 UYJ720902:UYK720902 VIF720902:VIG720902 VSB720902:VSC720902 WBX720902:WBY720902 WLT720902:WLU720902 WVP720902:WVQ720902 H786438:I786438 JD786438:JE786438 SZ786438:TA786438 ACV786438:ACW786438 AMR786438:AMS786438 AWN786438:AWO786438 BGJ786438:BGK786438 BQF786438:BQG786438 CAB786438:CAC786438 CJX786438:CJY786438 CTT786438:CTU786438 DDP786438:DDQ786438 DNL786438:DNM786438 DXH786438:DXI786438 EHD786438:EHE786438 EQZ786438:ERA786438 FAV786438:FAW786438 FKR786438:FKS786438 FUN786438:FUO786438 GEJ786438:GEK786438 GOF786438:GOG786438 GYB786438:GYC786438 HHX786438:HHY786438 HRT786438:HRU786438 IBP786438:IBQ786438 ILL786438:ILM786438 IVH786438:IVI786438 JFD786438:JFE786438 JOZ786438:JPA786438 JYV786438:JYW786438 KIR786438:KIS786438 KSN786438:KSO786438 LCJ786438:LCK786438 LMF786438:LMG786438 LWB786438:LWC786438 MFX786438:MFY786438 MPT786438:MPU786438 MZP786438:MZQ786438 NJL786438:NJM786438 NTH786438:NTI786438 ODD786438:ODE786438 OMZ786438:ONA786438 OWV786438:OWW786438 PGR786438:PGS786438 PQN786438:PQO786438 QAJ786438:QAK786438 QKF786438:QKG786438 QUB786438:QUC786438 RDX786438:RDY786438 RNT786438:RNU786438 RXP786438:RXQ786438 SHL786438:SHM786438 SRH786438:SRI786438 TBD786438:TBE786438 TKZ786438:TLA786438 TUV786438:TUW786438 UER786438:UES786438 UON786438:UOO786438 UYJ786438:UYK786438 VIF786438:VIG786438 VSB786438:VSC786438 WBX786438:WBY786438 WLT786438:WLU786438 WVP786438:WVQ786438 H851974:I851974 JD851974:JE851974 SZ851974:TA851974 ACV851974:ACW851974 AMR851974:AMS851974 AWN851974:AWO851974 BGJ851974:BGK851974 BQF851974:BQG851974 CAB851974:CAC851974 CJX851974:CJY851974 CTT851974:CTU851974 DDP851974:DDQ851974 DNL851974:DNM851974 DXH851974:DXI851974 EHD851974:EHE851974 EQZ851974:ERA851974 FAV851974:FAW851974 FKR851974:FKS851974 FUN851974:FUO851974 GEJ851974:GEK851974 GOF851974:GOG851974 GYB851974:GYC851974 HHX851974:HHY851974 HRT851974:HRU851974 IBP851974:IBQ851974 ILL851974:ILM851974 IVH851974:IVI851974 JFD851974:JFE851974 JOZ851974:JPA851974 JYV851974:JYW851974 KIR851974:KIS851974 KSN851974:KSO851974 LCJ851974:LCK851974 LMF851974:LMG851974 LWB851974:LWC851974 MFX851974:MFY851974 MPT851974:MPU851974 MZP851974:MZQ851974 NJL851974:NJM851974 NTH851974:NTI851974 ODD851974:ODE851974 OMZ851974:ONA851974 OWV851974:OWW851974 PGR851974:PGS851974 PQN851974:PQO851974 QAJ851974:QAK851974 QKF851974:QKG851974 QUB851974:QUC851974 RDX851974:RDY851974 RNT851974:RNU851974 RXP851974:RXQ851974 SHL851974:SHM851974 SRH851974:SRI851974 TBD851974:TBE851974 TKZ851974:TLA851974 TUV851974:TUW851974 UER851974:UES851974 UON851974:UOO851974 UYJ851974:UYK851974 VIF851974:VIG851974 VSB851974:VSC851974 WBX851974:WBY851974 WLT851974:WLU851974 WVP851974:WVQ851974 H917510:I917510 JD917510:JE917510 SZ917510:TA917510 ACV917510:ACW917510 AMR917510:AMS917510 AWN917510:AWO917510 BGJ917510:BGK917510 BQF917510:BQG917510 CAB917510:CAC917510 CJX917510:CJY917510 CTT917510:CTU917510 DDP917510:DDQ917510 DNL917510:DNM917510 DXH917510:DXI917510 EHD917510:EHE917510 EQZ917510:ERA917510 FAV917510:FAW917510 FKR917510:FKS917510 FUN917510:FUO917510 GEJ917510:GEK917510 GOF917510:GOG917510 GYB917510:GYC917510 HHX917510:HHY917510 HRT917510:HRU917510 IBP917510:IBQ917510 ILL917510:ILM917510 IVH917510:IVI917510 JFD917510:JFE917510 JOZ917510:JPA917510 JYV917510:JYW917510 KIR917510:KIS917510 KSN917510:KSO917510 LCJ917510:LCK917510 LMF917510:LMG917510 LWB917510:LWC917510 MFX917510:MFY917510 MPT917510:MPU917510 MZP917510:MZQ917510 NJL917510:NJM917510 NTH917510:NTI917510 ODD917510:ODE917510 OMZ917510:ONA917510 OWV917510:OWW917510 PGR917510:PGS917510 PQN917510:PQO917510 QAJ917510:QAK917510 QKF917510:QKG917510 QUB917510:QUC917510 RDX917510:RDY917510 RNT917510:RNU917510 RXP917510:RXQ917510 SHL917510:SHM917510 SRH917510:SRI917510 TBD917510:TBE917510 TKZ917510:TLA917510 TUV917510:TUW917510 UER917510:UES917510 UON917510:UOO917510 UYJ917510:UYK917510 VIF917510:VIG917510 VSB917510:VSC917510 WBX917510:WBY917510 WLT917510:WLU917510 WVP917510:WVQ917510 H983046:I983046 JD983046:JE983046 SZ983046:TA983046 ACV983046:ACW983046 AMR983046:AMS983046 AWN983046:AWO983046 BGJ983046:BGK983046 BQF983046:BQG983046 CAB983046:CAC983046 CJX983046:CJY983046 CTT983046:CTU983046 DDP983046:DDQ983046 DNL983046:DNM983046 DXH983046:DXI983046 EHD983046:EHE983046 EQZ983046:ERA983046 FAV983046:FAW983046 FKR983046:FKS983046 FUN983046:FUO983046 GEJ983046:GEK983046 GOF983046:GOG983046 GYB983046:GYC983046 HHX983046:HHY983046 HRT983046:HRU983046 IBP983046:IBQ983046 ILL983046:ILM983046 IVH983046:IVI983046 JFD983046:JFE983046 JOZ983046:JPA983046 JYV983046:JYW983046 KIR983046:KIS983046 KSN983046:KSO983046 LCJ983046:LCK983046 LMF983046:LMG983046 LWB983046:LWC983046 MFX983046:MFY983046 MPT983046:MPU983046 MZP983046:MZQ983046 NJL983046:NJM983046 NTH983046:NTI983046 ODD983046:ODE983046 OMZ983046:ONA983046 OWV983046:OWW983046 PGR983046:PGS983046 PQN983046:PQO983046 QAJ983046:QAK983046 QKF983046:QKG983046 QUB983046:QUC983046 RDX983046:RDY983046 RNT983046:RNU983046 RXP983046:RXQ983046 SHL983046:SHM983046 SRH983046:SRI983046 TBD983046:TBE983046 TKZ983046:TLA983046 TUV983046:TUW983046 UER983046:UES983046 UON983046:UOO983046 UYJ983046:UYK983046 VIF983046:VIG983046 VSB983046:VSC983046 WBX983046:WBY983046 WLT983046:WLU983046 WVP983046:WVQ983046" xr:uid="{1A758313-CAF8-4AF6-8FCE-1B1E01FB7019}">
      <formula1>$S$24:$T$24</formula1>
    </dataValidation>
    <dataValidation type="list" allowBlank="1" showInputMessage="1" showErrorMessage="1" sqref="H5:I5 JD5:JE5 SZ5:TA5 ACV5:ACW5 AMR5:AMS5 AWN5:AWO5 BGJ5:BGK5 BQF5:BQG5 CAB5:CAC5 CJX5:CJY5 CTT5:CTU5 DDP5:DDQ5 DNL5:DNM5 DXH5:DXI5 EHD5:EHE5 EQZ5:ERA5 FAV5:FAW5 FKR5:FKS5 FUN5:FUO5 GEJ5:GEK5 GOF5:GOG5 GYB5:GYC5 HHX5:HHY5 HRT5:HRU5 IBP5:IBQ5 ILL5:ILM5 IVH5:IVI5 JFD5:JFE5 JOZ5:JPA5 JYV5:JYW5 KIR5:KIS5 KSN5:KSO5 LCJ5:LCK5 LMF5:LMG5 LWB5:LWC5 MFX5:MFY5 MPT5:MPU5 MZP5:MZQ5 NJL5:NJM5 NTH5:NTI5 ODD5:ODE5 OMZ5:ONA5 OWV5:OWW5 PGR5:PGS5 PQN5:PQO5 QAJ5:QAK5 QKF5:QKG5 QUB5:QUC5 RDX5:RDY5 RNT5:RNU5 RXP5:RXQ5 SHL5:SHM5 SRH5:SRI5 TBD5:TBE5 TKZ5:TLA5 TUV5:TUW5 UER5:UES5 UON5:UOO5 UYJ5:UYK5 VIF5:VIG5 VSB5:VSC5 WBX5:WBY5 WLT5:WLU5 WVP5:WVQ5 H65541:I65541 JD65541:JE65541 SZ65541:TA65541 ACV65541:ACW65541 AMR65541:AMS65541 AWN65541:AWO65541 BGJ65541:BGK65541 BQF65541:BQG65541 CAB65541:CAC65541 CJX65541:CJY65541 CTT65541:CTU65541 DDP65541:DDQ65541 DNL65541:DNM65541 DXH65541:DXI65541 EHD65541:EHE65541 EQZ65541:ERA65541 FAV65541:FAW65541 FKR65541:FKS65541 FUN65541:FUO65541 GEJ65541:GEK65541 GOF65541:GOG65541 GYB65541:GYC65541 HHX65541:HHY65541 HRT65541:HRU65541 IBP65541:IBQ65541 ILL65541:ILM65541 IVH65541:IVI65541 JFD65541:JFE65541 JOZ65541:JPA65541 JYV65541:JYW65541 KIR65541:KIS65541 KSN65541:KSO65541 LCJ65541:LCK65541 LMF65541:LMG65541 LWB65541:LWC65541 MFX65541:MFY65541 MPT65541:MPU65541 MZP65541:MZQ65541 NJL65541:NJM65541 NTH65541:NTI65541 ODD65541:ODE65541 OMZ65541:ONA65541 OWV65541:OWW65541 PGR65541:PGS65541 PQN65541:PQO65541 QAJ65541:QAK65541 QKF65541:QKG65541 QUB65541:QUC65541 RDX65541:RDY65541 RNT65541:RNU65541 RXP65541:RXQ65541 SHL65541:SHM65541 SRH65541:SRI65541 TBD65541:TBE65541 TKZ65541:TLA65541 TUV65541:TUW65541 UER65541:UES65541 UON65541:UOO65541 UYJ65541:UYK65541 VIF65541:VIG65541 VSB65541:VSC65541 WBX65541:WBY65541 WLT65541:WLU65541 WVP65541:WVQ65541 H131077:I131077 JD131077:JE131077 SZ131077:TA131077 ACV131077:ACW131077 AMR131077:AMS131077 AWN131077:AWO131077 BGJ131077:BGK131077 BQF131077:BQG131077 CAB131077:CAC131077 CJX131077:CJY131077 CTT131077:CTU131077 DDP131077:DDQ131077 DNL131077:DNM131077 DXH131077:DXI131077 EHD131077:EHE131077 EQZ131077:ERA131077 FAV131077:FAW131077 FKR131077:FKS131077 FUN131077:FUO131077 GEJ131077:GEK131077 GOF131077:GOG131077 GYB131077:GYC131077 HHX131077:HHY131077 HRT131077:HRU131077 IBP131077:IBQ131077 ILL131077:ILM131077 IVH131077:IVI131077 JFD131077:JFE131077 JOZ131077:JPA131077 JYV131077:JYW131077 KIR131077:KIS131077 KSN131077:KSO131077 LCJ131077:LCK131077 LMF131077:LMG131077 LWB131077:LWC131077 MFX131077:MFY131077 MPT131077:MPU131077 MZP131077:MZQ131077 NJL131077:NJM131077 NTH131077:NTI131077 ODD131077:ODE131077 OMZ131077:ONA131077 OWV131077:OWW131077 PGR131077:PGS131077 PQN131077:PQO131077 QAJ131077:QAK131077 QKF131077:QKG131077 QUB131077:QUC131077 RDX131077:RDY131077 RNT131077:RNU131077 RXP131077:RXQ131077 SHL131077:SHM131077 SRH131077:SRI131077 TBD131077:TBE131077 TKZ131077:TLA131077 TUV131077:TUW131077 UER131077:UES131077 UON131077:UOO131077 UYJ131077:UYK131077 VIF131077:VIG131077 VSB131077:VSC131077 WBX131077:WBY131077 WLT131077:WLU131077 WVP131077:WVQ131077 H196613:I196613 JD196613:JE196613 SZ196613:TA196613 ACV196613:ACW196613 AMR196613:AMS196613 AWN196613:AWO196613 BGJ196613:BGK196613 BQF196613:BQG196613 CAB196613:CAC196613 CJX196613:CJY196613 CTT196613:CTU196613 DDP196613:DDQ196613 DNL196613:DNM196613 DXH196613:DXI196613 EHD196613:EHE196613 EQZ196613:ERA196613 FAV196613:FAW196613 FKR196613:FKS196613 FUN196613:FUO196613 GEJ196613:GEK196613 GOF196613:GOG196613 GYB196613:GYC196613 HHX196613:HHY196613 HRT196613:HRU196613 IBP196613:IBQ196613 ILL196613:ILM196613 IVH196613:IVI196613 JFD196613:JFE196613 JOZ196613:JPA196613 JYV196613:JYW196613 KIR196613:KIS196613 KSN196613:KSO196613 LCJ196613:LCK196613 LMF196613:LMG196613 LWB196613:LWC196613 MFX196613:MFY196613 MPT196613:MPU196613 MZP196613:MZQ196613 NJL196613:NJM196613 NTH196613:NTI196613 ODD196613:ODE196613 OMZ196613:ONA196613 OWV196613:OWW196613 PGR196613:PGS196613 PQN196613:PQO196613 QAJ196613:QAK196613 QKF196613:QKG196613 QUB196613:QUC196613 RDX196613:RDY196613 RNT196613:RNU196613 RXP196613:RXQ196613 SHL196613:SHM196613 SRH196613:SRI196613 TBD196613:TBE196613 TKZ196613:TLA196613 TUV196613:TUW196613 UER196613:UES196613 UON196613:UOO196613 UYJ196613:UYK196613 VIF196613:VIG196613 VSB196613:VSC196613 WBX196613:WBY196613 WLT196613:WLU196613 WVP196613:WVQ196613 H262149:I262149 JD262149:JE262149 SZ262149:TA262149 ACV262149:ACW262149 AMR262149:AMS262149 AWN262149:AWO262149 BGJ262149:BGK262149 BQF262149:BQG262149 CAB262149:CAC262149 CJX262149:CJY262149 CTT262149:CTU262149 DDP262149:DDQ262149 DNL262149:DNM262149 DXH262149:DXI262149 EHD262149:EHE262149 EQZ262149:ERA262149 FAV262149:FAW262149 FKR262149:FKS262149 FUN262149:FUO262149 GEJ262149:GEK262149 GOF262149:GOG262149 GYB262149:GYC262149 HHX262149:HHY262149 HRT262149:HRU262149 IBP262149:IBQ262149 ILL262149:ILM262149 IVH262149:IVI262149 JFD262149:JFE262149 JOZ262149:JPA262149 JYV262149:JYW262149 KIR262149:KIS262149 KSN262149:KSO262149 LCJ262149:LCK262149 LMF262149:LMG262149 LWB262149:LWC262149 MFX262149:MFY262149 MPT262149:MPU262149 MZP262149:MZQ262149 NJL262149:NJM262149 NTH262149:NTI262149 ODD262149:ODE262149 OMZ262149:ONA262149 OWV262149:OWW262149 PGR262149:PGS262149 PQN262149:PQO262149 QAJ262149:QAK262149 QKF262149:QKG262149 QUB262149:QUC262149 RDX262149:RDY262149 RNT262149:RNU262149 RXP262149:RXQ262149 SHL262149:SHM262149 SRH262149:SRI262149 TBD262149:TBE262149 TKZ262149:TLA262149 TUV262149:TUW262149 UER262149:UES262149 UON262149:UOO262149 UYJ262149:UYK262149 VIF262149:VIG262149 VSB262149:VSC262149 WBX262149:WBY262149 WLT262149:WLU262149 WVP262149:WVQ262149 H327685:I327685 JD327685:JE327685 SZ327685:TA327685 ACV327685:ACW327685 AMR327685:AMS327685 AWN327685:AWO327685 BGJ327685:BGK327685 BQF327685:BQG327685 CAB327685:CAC327685 CJX327685:CJY327685 CTT327685:CTU327685 DDP327685:DDQ327685 DNL327685:DNM327685 DXH327685:DXI327685 EHD327685:EHE327685 EQZ327685:ERA327685 FAV327685:FAW327685 FKR327685:FKS327685 FUN327685:FUO327685 GEJ327685:GEK327685 GOF327685:GOG327685 GYB327685:GYC327685 HHX327685:HHY327685 HRT327685:HRU327685 IBP327685:IBQ327685 ILL327685:ILM327685 IVH327685:IVI327685 JFD327685:JFE327685 JOZ327685:JPA327685 JYV327685:JYW327685 KIR327685:KIS327685 KSN327685:KSO327685 LCJ327685:LCK327685 LMF327685:LMG327685 LWB327685:LWC327685 MFX327685:MFY327685 MPT327685:MPU327685 MZP327685:MZQ327685 NJL327685:NJM327685 NTH327685:NTI327685 ODD327685:ODE327685 OMZ327685:ONA327685 OWV327685:OWW327685 PGR327685:PGS327685 PQN327685:PQO327685 QAJ327685:QAK327685 QKF327685:QKG327685 QUB327685:QUC327685 RDX327685:RDY327685 RNT327685:RNU327685 RXP327685:RXQ327685 SHL327685:SHM327685 SRH327685:SRI327685 TBD327685:TBE327685 TKZ327685:TLA327685 TUV327685:TUW327685 UER327685:UES327685 UON327685:UOO327685 UYJ327685:UYK327685 VIF327685:VIG327685 VSB327685:VSC327685 WBX327685:WBY327685 WLT327685:WLU327685 WVP327685:WVQ327685 H393221:I393221 JD393221:JE393221 SZ393221:TA393221 ACV393221:ACW393221 AMR393221:AMS393221 AWN393221:AWO393221 BGJ393221:BGK393221 BQF393221:BQG393221 CAB393221:CAC393221 CJX393221:CJY393221 CTT393221:CTU393221 DDP393221:DDQ393221 DNL393221:DNM393221 DXH393221:DXI393221 EHD393221:EHE393221 EQZ393221:ERA393221 FAV393221:FAW393221 FKR393221:FKS393221 FUN393221:FUO393221 GEJ393221:GEK393221 GOF393221:GOG393221 GYB393221:GYC393221 HHX393221:HHY393221 HRT393221:HRU393221 IBP393221:IBQ393221 ILL393221:ILM393221 IVH393221:IVI393221 JFD393221:JFE393221 JOZ393221:JPA393221 JYV393221:JYW393221 KIR393221:KIS393221 KSN393221:KSO393221 LCJ393221:LCK393221 LMF393221:LMG393221 LWB393221:LWC393221 MFX393221:MFY393221 MPT393221:MPU393221 MZP393221:MZQ393221 NJL393221:NJM393221 NTH393221:NTI393221 ODD393221:ODE393221 OMZ393221:ONA393221 OWV393221:OWW393221 PGR393221:PGS393221 PQN393221:PQO393221 QAJ393221:QAK393221 QKF393221:QKG393221 QUB393221:QUC393221 RDX393221:RDY393221 RNT393221:RNU393221 RXP393221:RXQ393221 SHL393221:SHM393221 SRH393221:SRI393221 TBD393221:TBE393221 TKZ393221:TLA393221 TUV393221:TUW393221 UER393221:UES393221 UON393221:UOO393221 UYJ393221:UYK393221 VIF393221:VIG393221 VSB393221:VSC393221 WBX393221:WBY393221 WLT393221:WLU393221 WVP393221:WVQ393221 H458757:I458757 JD458757:JE458757 SZ458757:TA458757 ACV458757:ACW458757 AMR458757:AMS458757 AWN458757:AWO458757 BGJ458757:BGK458757 BQF458757:BQG458757 CAB458757:CAC458757 CJX458757:CJY458757 CTT458757:CTU458757 DDP458757:DDQ458757 DNL458757:DNM458757 DXH458757:DXI458757 EHD458757:EHE458757 EQZ458757:ERA458757 FAV458757:FAW458757 FKR458757:FKS458757 FUN458757:FUO458757 GEJ458757:GEK458757 GOF458757:GOG458757 GYB458757:GYC458757 HHX458757:HHY458757 HRT458757:HRU458757 IBP458757:IBQ458757 ILL458757:ILM458757 IVH458757:IVI458757 JFD458757:JFE458757 JOZ458757:JPA458757 JYV458757:JYW458757 KIR458757:KIS458757 KSN458757:KSO458757 LCJ458757:LCK458757 LMF458757:LMG458757 LWB458757:LWC458757 MFX458757:MFY458757 MPT458757:MPU458757 MZP458757:MZQ458757 NJL458757:NJM458757 NTH458757:NTI458757 ODD458757:ODE458757 OMZ458757:ONA458757 OWV458757:OWW458757 PGR458757:PGS458757 PQN458757:PQO458757 QAJ458757:QAK458757 QKF458757:QKG458757 QUB458757:QUC458757 RDX458757:RDY458757 RNT458757:RNU458757 RXP458757:RXQ458757 SHL458757:SHM458757 SRH458757:SRI458757 TBD458757:TBE458757 TKZ458757:TLA458757 TUV458757:TUW458757 UER458757:UES458757 UON458757:UOO458757 UYJ458757:UYK458757 VIF458757:VIG458757 VSB458757:VSC458757 WBX458757:WBY458757 WLT458757:WLU458757 WVP458757:WVQ458757 H524293:I524293 JD524293:JE524293 SZ524293:TA524293 ACV524293:ACW524293 AMR524293:AMS524293 AWN524293:AWO524293 BGJ524293:BGK524293 BQF524293:BQG524293 CAB524293:CAC524293 CJX524293:CJY524293 CTT524293:CTU524293 DDP524293:DDQ524293 DNL524293:DNM524293 DXH524293:DXI524293 EHD524293:EHE524293 EQZ524293:ERA524293 FAV524293:FAW524293 FKR524293:FKS524293 FUN524293:FUO524293 GEJ524293:GEK524293 GOF524293:GOG524293 GYB524293:GYC524293 HHX524293:HHY524293 HRT524293:HRU524293 IBP524293:IBQ524293 ILL524293:ILM524293 IVH524293:IVI524293 JFD524293:JFE524293 JOZ524293:JPA524293 JYV524293:JYW524293 KIR524293:KIS524293 KSN524293:KSO524293 LCJ524293:LCK524293 LMF524293:LMG524293 LWB524293:LWC524293 MFX524293:MFY524293 MPT524293:MPU524293 MZP524293:MZQ524293 NJL524293:NJM524293 NTH524293:NTI524293 ODD524293:ODE524293 OMZ524293:ONA524293 OWV524293:OWW524293 PGR524293:PGS524293 PQN524293:PQO524293 QAJ524293:QAK524293 QKF524293:QKG524293 QUB524293:QUC524293 RDX524293:RDY524293 RNT524293:RNU524293 RXP524293:RXQ524293 SHL524293:SHM524293 SRH524293:SRI524293 TBD524293:TBE524293 TKZ524293:TLA524293 TUV524293:TUW524293 UER524293:UES524293 UON524293:UOO524293 UYJ524293:UYK524293 VIF524293:VIG524293 VSB524293:VSC524293 WBX524293:WBY524293 WLT524293:WLU524293 WVP524293:WVQ524293 H589829:I589829 JD589829:JE589829 SZ589829:TA589829 ACV589829:ACW589829 AMR589829:AMS589829 AWN589829:AWO589829 BGJ589829:BGK589829 BQF589829:BQG589829 CAB589829:CAC589829 CJX589829:CJY589829 CTT589829:CTU589829 DDP589829:DDQ589829 DNL589829:DNM589829 DXH589829:DXI589829 EHD589829:EHE589829 EQZ589829:ERA589829 FAV589829:FAW589829 FKR589829:FKS589829 FUN589829:FUO589829 GEJ589829:GEK589829 GOF589829:GOG589829 GYB589829:GYC589829 HHX589829:HHY589829 HRT589829:HRU589829 IBP589829:IBQ589829 ILL589829:ILM589829 IVH589829:IVI589829 JFD589829:JFE589829 JOZ589829:JPA589829 JYV589829:JYW589829 KIR589829:KIS589829 KSN589829:KSO589829 LCJ589829:LCK589829 LMF589829:LMG589829 LWB589829:LWC589829 MFX589829:MFY589829 MPT589829:MPU589829 MZP589829:MZQ589829 NJL589829:NJM589829 NTH589829:NTI589829 ODD589829:ODE589829 OMZ589829:ONA589829 OWV589829:OWW589829 PGR589829:PGS589829 PQN589829:PQO589829 QAJ589829:QAK589829 QKF589829:QKG589829 QUB589829:QUC589829 RDX589829:RDY589829 RNT589829:RNU589829 RXP589829:RXQ589829 SHL589829:SHM589829 SRH589829:SRI589829 TBD589829:TBE589829 TKZ589829:TLA589829 TUV589829:TUW589829 UER589829:UES589829 UON589829:UOO589829 UYJ589829:UYK589829 VIF589829:VIG589829 VSB589829:VSC589829 WBX589829:WBY589829 WLT589829:WLU589829 WVP589829:WVQ589829 H655365:I655365 JD655365:JE655365 SZ655365:TA655365 ACV655365:ACW655365 AMR655365:AMS655365 AWN655365:AWO655365 BGJ655365:BGK655365 BQF655365:BQG655365 CAB655365:CAC655365 CJX655365:CJY655365 CTT655365:CTU655365 DDP655365:DDQ655365 DNL655365:DNM655365 DXH655365:DXI655365 EHD655365:EHE655365 EQZ655365:ERA655365 FAV655365:FAW655365 FKR655365:FKS655365 FUN655365:FUO655365 GEJ655365:GEK655365 GOF655365:GOG655365 GYB655365:GYC655365 HHX655365:HHY655365 HRT655365:HRU655365 IBP655365:IBQ655365 ILL655365:ILM655365 IVH655365:IVI655365 JFD655365:JFE655365 JOZ655365:JPA655365 JYV655365:JYW655365 KIR655365:KIS655365 KSN655365:KSO655365 LCJ655365:LCK655365 LMF655365:LMG655365 LWB655365:LWC655365 MFX655365:MFY655365 MPT655365:MPU655365 MZP655365:MZQ655365 NJL655365:NJM655365 NTH655365:NTI655365 ODD655365:ODE655365 OMZ655365:ONA655365 OWV655365:OWW655365 PGR655365:PGS655365 PQN655365:PQO655365 QAJ655365:QAK655365 QKF655365:QKG655365 QUB655365:QUC655365 RDX655365:RDY655365 RNT655365:RNU655365 RXP655365:RXQ655365 SHL655365:SHM655365 SRH655365:SRI655365 TBD655365:TBE655365 TKZ655365:TLA655365 TUV655365:TUW655365 UER655365:UES655365 UON655365:UOO655365 UYJ655365:UYK655365 VIF655365:VIG655365 VSB655365:VSC655365 WBX655365:WBY655365 WLT655365:WLU655365 WVP655365:WVQ655365 H720901:I720901 JD720901:JE720901 SZ720901:TA720901 ACV720901:ACW720901 AMR720901:AMS720901 AWN720901:AWO720901 BGJ720901:BGK720901 BQF720901:BQG720901 CAB720901:CAC720901 CJX720901:CJY720901 CTT720901:CTU720901 DDP720901:DDQ720901 DNL720901:DNM720901 DXH720901:DXI720901 EHD720901:EHE720901 EQZ720901:ERA720901 FAV720901:FAW720901 FKR720901:FKS720901 FUN720901:FUO720901 GEJ720901:GEK720901 GOF720901:GOG720901 GYB720901:GYC720901 HHX720901:HHY720901 HRT720901:HRU720901 IBP720901:IBQ720901 ILL720901:ILM720901 IVH720901:IVI720901 JFD720901:JFE720901 JOZ720901:JPA720901 JYV720901:JYW720901 KIR720901:KIS720901 KSN720901:KSO720901 LCJ720901:LCK720901 LMF720901:LMG720901 LWB720901:LWC720901 MFX720901:MFY720901 MPT720901:MPU720901 MZP720901:MZQ720901 NJL720901:NJM720901 NTH720901:NTI720901 ODD720901:ODE720901 OMZ720901:ONA720901 OWV720901:OWW720901 PGR720901:PGS720901 PQN720901:PQO720901 QAJ720901:QAK720901 QKF720901:QKG720901 QUB720901:QUC720901 RDX720901:RDY720901 RNT720901:RNU720901 RXP720901:RXQ720901 SHL720901:SHM720901 SRH720901:SRI720901 TBD720901:TBE720901 TKZ720901:TLA720901 TUV720901:TUW720901 UER720901:UES720901 UON720901:UOO720901 UYJ720901:UYK720901 VIF720901:VIG720901 VSB720901:VSC720901 WBX720901:WBY720901 WLT720901:WLU720901 WVP720901:WVQ720901 H786437:I786437 JD786437:JE786437 SZ786437:TA786437 ACV786437:ACW786437 AMR786437:AMS786437 AWN786437:AWO786437 BGJ786437:BGK786437 BQF786437:BQG786437 CAB786437:CAC786437 CJX786437:CJY786437 CTT786437:CTU786437 DDP786437:DDQ786437 DNL786437:DNM786437 DXH786437:DXI786437 EHD786437:EHE786437 EQZ786437:ERA786437 FAV786437:FAW786437 FKR786437:FKS786437 FUN786437:FUO786437 GEJ786437:GEK786437 GOF786437:GOG786437 GYB786437:GYC786437 HHX786437:HHY786437 HRT786437:HRU786437 IBP786437:IBQ786437 ILL786437:ILM786437 IVH786437:IVI786437 JFD786437:JFE786437 JOZ786437:JPA786437 JYV786437:JYW786437 KIR786437:KIS786437 KSN786437:KSO786437 LCJ786437:LCK786437 LMF786437:LMG786437 LWB786437:LWC786437 MFX786437:MFY786437 MPT786437:MPU786437 MZP786437:MZQ786437 NJL786437:NJM786437 NTH786437:NTI786437 ODD786437:ODE786437 OMZ786437:ONA786437 OWV786437:OWW786437 PGR786437:PGS786437 PQN786437:PQO786437 QAJ786437:QAK786437 QKF786437:QKG786437 QUB786437:QUC786437 RDX786437:RDY786437 RNT786437:RNU786437 RXP786437:RXQ786437 SHL786437:SHM786437 SRH786437:SRI786437 TBD786437:TBE786437 TKZ786437:TLA786437 TUV786437:TUW786437 UER786437:UES786437 UON786437:UOO786437 UYJ786437:UYK786437 VIF786437:VIG786437 VSB786437:VSC786437 WBX786437:WBY786437 WLT786437:WLU786437 WVP786437:WVQ786437 H851973:I851973 JD851973:JE851973 SZ851973:TA851973 ACV851973:ACW851973 AMR851973:AMS851973 AWN851973:AWO851973 BGJ851973:BGK851973 BQF851973:BQG851973 CAB851973:CAC851973 CJX851973:CJY851973 CTT851973:CTU851973 DDP851973:DDQ851973 DNL851973:DNM851973 DXH851973:DXI851973 EHD851973:EHE851973 EQZ851973:ERA851973 FAV851973:FAW851973 FKR851973:FKS851973 FUN851973:FUO851973 GEJ851973:GEK851973 GOF851973:GOG851973 GYB851973:GYC851973 HHX851973:HHY851973 HRT851973:HRU851973 IBP851973:IBQ851973 ILL851973:ILM851973 IVH851973:IVI851973 JFD851973:JFE851973 JOZ851973:JPA851973 JYV851973:JYW851973 KIR851973:KIS851973 KSN851973:KSO851973 LCJ851973:LCK851973 LMF851973:LMG851973 LWB851973:LWC851973 MFX851973:MFY851973 MPT851973:MPU851973 MZP851973:MZQ851973 NJL851973:NJM851973 NTH851973:NTI851973 ODD851973:ODE851973 OMZ851973:ONA851973 OWV851973:OWW851973 PGR851973:PGS851973 PQN851973:PQO851973 QAJ851973:QAK851973 QKF851973:QKG851973 QUB851973:QUC851973 RDX851973:RDY851973 RNT851973:RNU851973 RXP851973:RXQ851973 SHL851973:SHM851973 SRH851973:SRI851973 TBD851973:TBE851973 TKZ851973:TLA851973 TUV851973:TUW851973 UER851973:UES851973 UON851973:UOO851973 UYJ851973:UYK851973 VIF851973:VIG851973 VSB851973:VSC851973 WBX851973:WBY851973 WLT851973:WLU851973 WVP851973:WVQ851973 H917509:I917509 JD917509:JE917509 SZ917509:TA917509 ACV917509:ACW917509 AMR917509:AMS917509 AWN917509:AWO917509 BGJ917509:BGK917509 BQF917509:BQG917509 CAB917509:CAC917509 CJX917509:CJY917509 CTT917509:CTU917509 DDP917509:DDQ917509 DNL917509:DNM917509 DXH917509:DXI917509 EHD917509:EHE917509 EQZ917509:ERA917509 FAV917509:FAW917509 FKR917509:FKS917509 FUN917509:FUO917509 GEJ917509:GEK917509 GOF917509:GOG917509 GYB917509:GYC917509 HHX917509:HHY917509 HRT917509:HRU917509 IBP917509:IBQ917509 ILL917509:ILM917509 IVH917509:IVI917509 JFD917509:JFE917509 JOZ917509:JPA917509 JYV917509:JYW917509 KIR917509:KIS917509 KSN917509:KSO917509 LCJ917509:LCK917509 LMF917509:LMG917509 LWB917509:LWC917509 MFX917509:MFY917509 MPT917509:MPU917509 MZP917509:MZQ917509 NJL917509:NJM917509 NTH917509:NTI917509 ODD917509:ODE917509 OMZ917509:ONA917509 OWV917509:OWW917509 PGR917509:PGS917509 PQN917509:PQO917509 QAJ917509:QAK917509 QKF917509:QKG917509 QUB917509:QUC917509 RDX917509:RDY917509 RNT917509:RNU917509 RXP917509:RXQ917509 SHL917509:SHM917509 SRH917509:SRI917509 TBD917509:TBE917509 TKZ917509:TLA917509 TUV917509:TUW917509 UER917509:UES917509 UON917509:UOO917509 UYJ917509:UYK917509 VIF917509:VIG917509 VSB917509:VSC917509 WBX917509:WBY917509 WLT917509:WLU917509 WVP917509:WVQ917509 H983045:I983045 JD983045:JE983045 SZ983045:TA983045 ACV983045:ACW983045 AMR983045:AMS983045 AWN983045:AWO983045 BGJ983045:BGK983045 BQF983045:BQG983045 CAB983045:CAC983045 CJX983045:CJY983045 CTT983045:CTU983045 DDP983045:DDQ983045 DNL983045:DNM983045 DXH983045:DXI983045 EHD983045:EHE983045 EQZ983045:ERA983045 FAV983045:FAW983045 FKR983045:FKS983045 FUN983045:FUO983045 GEJ983045:GEK983045 GOF983045:GOG983045 GYB983045:GYC983045 HHX983045:HHY983045 HRT983045:HRU983045 IBP983045:IBQ983045 ILL983045:ILM983045 IVH983045:IVI983045 JFD983045:JFE983045 JOZ983045:JPA983045 JYV983045:JYW983045 KIR983045:KIS983045 KSN983045:KSO983045 LCJ983045:LCK983045 LMF983045:LMG983045 LWB983045:LWC983045 MFX983045:MFY983045 MPT983045:MPU983045 MZP983045:MZQ983045 NJL983045:NJM983045 NTH983045:NTI983045 ODD983045:ODE983045 OMZ983045:ONA983045 OWV983045:OWW983045 PGR983045:PGS983045 PQN983045:PQO983045 QAJ983045:QAK983045 QKF983045:QKG983045 QUB983045:QUC983045 RDX983045:RDY983045 RNT983045:RNU983045 RXP983045:RXQ983045 SHL983045:SHM983045 SRH983045:SRI983045 TBD983045:TBE983045 TKZ983045:TLA983045 TUV983045:TUW983045 UER983045:UES983045 UON983045:UOO983045 UYJ983045:UYK983045 VIF983045:VIG983045 VSB983045:VSC983045 WBX983045:WBY983045 WLT983045:WLU983045 WVP983045:WVQ983045" xr:uid="{6D44B2E2-0E74-4BEE-80E8-15D5D953940C}">
      <formula1>$U$9:$AT$9</formula1>
    </dataValidation>
    <dataValidation type="list" allowBlank="1" showInputMessage="1" showErrorMessage="1" sqref="H3:I3 JD3:JE3 SZ3:TA3 ACV3:ACW3 AMR3:AMS3 AWN3:AWO3 BGJ3:BGK3 BQF3:BQG3 CAB3:CAC3 CJX3:CJY3 CTT3:CTU3 DDP3:DDQ3 DNL3:DNM3 DXH3:DXI3 EHD3:EHE3 EQZ3:ERA3 FAV3:FAW3 FKR3:FKS3 FUN3:FUO3 GEJ3:GEK3 GOF3:GOG3 GYB3:GYC3 HHX3:HHY3 HRT3:HRU3 IBP3:IBQ3 ILL3:ILM3 IVH3:IVI3 JFD3:JFE3 JOZ3:JPA3 JYV3:JYW3 KIR3:KIS3 KSN3:KSO3 LCJ3:LCK3 LMF3:LMG3 LWB3:LWC3 MFX3:MFY3 MPT3:MPU3 MZP3:MZQ3 NJL3:NJM3 NTH3:NTI3 ODD3:ODE3 OMZ3:ONA3 OWV3:OWW3 PGR3:PGS3 PQN3:PQO3 QAJ3:QAK3 QKF3:QKG3 QUB3:QUC3 RDX3:RDY3 RNT3:RNU3 RXP3:RXQ3 SHL3:SHM3 SRH3:SRI3 TBD3:TBE3 TKZ3:TLA3 TUV3:TUW3 UER3:UES3 UON3:UOO3 UYJ3:UYK3 VIF3:VIG3 VSB3:VSC3 WBX3:WBY3 WLT3:WLU3 WVP3:WVQ3 H65539:I65539 JD65539:JE65539 SZ65539:TA65539 ACV65539:ACW65539 AMR65539:AMS65539 AWN65539:AWO65539 BGJ65539:BGK65539 BQF65539:BQG65539 CAB65539:CAC65539 CJX65539:CJY65539 CTT65539:CTU65539 DDP65539:DDQ65539 DNL65539:DNM65539 DXH65539:DXI65539 EHD65539:EHE65539 EQZ65539:ERA65539 FAV65539:FAW65539 FKR65539:FKS65539 FUN65539:FUO65539 GEJ65539:GEK65539 GOF65539:GOG65539 GYB65539:GYC65539 HHX65539:HHY65539 HRT65539:HRU65539 IBP65539:IBQ65539 ILL65539:ILM65539 IVH65539:IVI65539 JFD65539:JFE65539 JOZ65539:JPA65539 JYV65539:JYW65539 KIR65539:KIS65539 KSN65539:KSO65539 LCJ65539:LCK65539 LMF65539:LMG65539 LWB65539:LWC65539 MFX65539:MFY65539 MPT65539:MPU65539 MZP65539:MZQ65539 NJL65539:NJM65539 NTH65539:NTI65539 ODD65539:ODE65539 OMZ65539:ONA65539 OWV65539:OWW65539 PGR65539:PGS65539 PQN65539:PQO65539 QAJ65539:QAK65539 QKF65539:QKG65539 QUB65539:QUC65539 RDX65539:RDY65539 RNT65539:RNU65539 RXP65539:RXQ65539 SHL65539:SHM65539 SRH65539:SRI65539 TBD65539:TBE65539 TKZ65539:TLA65539 TUV65539:TUW65539 UER65539:UES65539 UON65539:UOO65539 UYJ65539:UYK65539 VIF65539:VIG65539 VSB65539:VSC65539 WBX65539:WBY65539 WLT65539:WLU65539 WVP65539:WVQ65539 H131075:I131075 JD131075:JE131075 SZ131075:TA131075 ACV131075:ACW131075 AMR131075:AMS131075 AWN131075:AWO131075 BGJ131075:BGK131075 BQF131075:BQG131075 CAB131075:CAC131075 CJX131075:CJY131075 CTT131075:CTU131075 DDP131075:DDQ131075 DNL131075:DNM131075 DXH131075:DXI131075 EHD131075:EHE131075 EQZ131075:ERA131075 FAV131075:FAW131075 FKR131075:FKS131075 FUN131075:FUO131075 GEJ131075:GEK131075 GOF131075:GOG131075 GYB131075:GYC131075 HHX131075:HHY131075 HRT131075:HRU131075 IBP131075:IBQ131075 ILL131075:ILM131075 IVH131075:IVI131075 JFD131075:JFE131075 JOZ131075:JPA131075 JYV131075:JYW131075 KIR131075:KIS131075 KSN131075:KSO131075 LCJ131075:LCK131075 LMF131075:LMG131075 LWB131075:LWC131075 MFX131075:MFY131075 MPT131075:MPU131075 MZP131075:MZQ131075 NJL131075:NJM131075 NTH131075:NTI131075 ODD131075:ODE131075 OMZ131075:ONA131075 OWV131075:OWW131075 PGR131075:PGS131075 PQN131075:PQO131075 QAJ131075:QAK131075 QKF131075:QKG131075 QUB131075:QUC131075 RDX131075:RDY131075 RNT131075:RNU131075 RXP131075:RXQ131075 SHL131075:SHM131075 SRH131075:SRI131075 TBD131075:TBE131075 TKZ131075:TLA131075 TUV131075:TUW131075 UER131075:UES131075 UON131075:UOO131075 UYJ131075:UYK131075 VIF131075:VIG131075 VSB131075:VSC131075 WBX131075:WBY131075 WLT131075:WLU131075 WVP131075:WVQ131075 H196611:I196611 JD196611:JE196611 SZ196611:TA196611 ACV196611:ACW196611 AMR196611:AMS196611 AWN196611:AWO196611 BGJ196611:BGK196611 BQF196611:BQG196611 CAB196611:CAC196611 CJX196611:CJY196611 CTT196611:CTU196611 DDP196611:DDQ196611 DNL196611:DNM196611 DXH196611:DXI196611 EHD196611:EHE196611 EQZ196611:ERA196611 FAV196611:FAW196611 FKR196611:FKS196611 FUN196611:FUO196611 GEJ196611:GEK196611 GOF196611:GOG196611 GYB196611:GYC196611 HHX196611:HHY196611 HRT196611:HRU196611 IBP196611:IBQ196611 ILL196611:ILM196611 IVH196611:IVI196611 JFD196611:JFE196611 JOZ196611:JPA196611 JYV196611:JYW196611 KIR196611:KIS196611 KSN196611:KSO196611 LCJ196611:LCK196611 LMF196611:LMG196611 LWB196611:LWC196611 MFX196611:MFY196611 MPT196611:MPU196611 MZP196611:MZQ196611 NJL196611:NJM196611 NTH196611:NTI196611 ODD196611:ODE196611 OMZ196611:ONA196611 OWV196611:OWW196611 PGR196611:PGS196611 PQN196611:PQO196611 QAJ196611:QAK196611 QKF196611:QKG196611 QUB196611:QUC196611 RDX196611:RDY196611 RNT196611:RNU196611 RXP196611:RXQ196611 SHL196611:SHM196611 SRH196611:SRI196611 TBD196611:TBE196611 TKZ196611:TLA196611 TUV196611:TUW196611 UER196611:UES196611 UON196611:UOO196611 UYJ196611:UYK196611 VIF196611:VIG196611 VSB196611:VSC196611 WBX196611:WBY196611 WLT196611:WLU196611 WVP196611:WVQ196611 H262147:I262147 JD262147:JE262147 SZ262147:TA262147 ACV262147:ACW262147 AMR262147:AMS262147 AWN262147:AWO262147 BGJ262147:BGK262147 BQF262147:BQG262147 CAB262147:CAC262147 CJX262147:CJY262147 CTT262147:CTU262147 DDP262147:DDQ262147 DNL262147:DNM262147 DXH262147:DXI262147 EHD262147:EHE262147 EQZ262147:ERA262147 FAV262147:FAW262147 FKR262147:FKS262147 FUN262147:FUO262147 GEJ262147:GEK262147 GOF262147:GOG262147 GYB262147:GYC262147 HHX262147:HHY262147 HRT262147:HRU262147 IBP262147:IBQ262147 ILL262147:ILM262147 IVH262147:IVI262147 JFD262147:JFE262147 JOZ262147:JPA262147 JYV262147:JYW262147 KIR262147:KIS262147 KSN262147:KSO262147 LCJ262147:LCK262147 LMF262147:LMG262147 LWB262147:LWC262147 MFX262147:MFY262147 MPT262147:MPU262147 MZP262147:MZQ262147 NJL262147:NJM262147 NTH262147:NTI262147 ODD262147:ODE262147 OMZ262147:ONA262147 OWV262147:OWW262147 PGR262147:PGS262147 PQN262147:PQO262147 QAJ262147:QAK262147 QKF262147:QKG262147 QUB262147:QUC262147 RDX262147:RDY262147 RNT262147:RNU262147 RXP262147:RXQ262147 SHL262147:SHM262147 SRH262147:SRI262147 TBD262147:TBE262147 TKZ262147:TLA262147 TUV262147:TUW262147 UER262147:UES262147 UON262147:UOO262147 UYJ262147:UYK262147 VIF262147:VIG262147 VSB262147:VSC262147 WBX262147:WBY262147 WLT262147:WLU262147 WVP262147:WVQ262147 H327683:I327683 JD327683:JE327683 SZ327683:TA327683 ACV327683:ACW327683 AMR327683:AMS327683 AWN327683:AWO327683 BGJ327683:BGK327683 BQF327683:BQG327683 CAB327683:CAC327683 CJX327683:CJY327683 CTT327683:CTU327683 DDP327683:DDQ327683 DNL327683:DNM327683 DXH327683:DXI327683 EHD327683:EHE327683 EQZ327683:ERA327683 FAV327683:FAW327683 FKR327683:FKS327683 FUN327683:FUO327683 GEJ327683:GEK327683 GOF327683:GOG327683 GYB327683:GYC327683 HHX327683:HHY327683 HRT327683:HRU327683 IBP327683:IBQ327683 ILL327683:ILM327683 IVH327683:IVI327683 JFD327683:JFE327683 JOZ327683:JPA327683 JYV327683:JYW327683 KIR327683:KIS327683 KSN327683:KSO327683 LCJ327683:LCK327683 LMF327683:LMG327683 LWB327683:LWC327683 MFX327683:MFY327683 MPT327683:MPU327683 MZP327683:MZQ327683 NJL327683:NJM327683 NTH327683:NTI327683 ODD327683:ODE327683 OMZ327683:ONA327683 OWV327683:OWW327683 PGR327683:PGS327683 PQN327683:PQO327683 QAJ327683:QAK327683 QKF327683:QKG327683 QUB327683:QUC327683 RDX327683:RDY327683 RNT327683:RNU327683 RXP327683:RXQ327683 SHL327683:SHM327683 SRH327683:SRI327683 TBD327683:TBE327683 TKZ327683:TLA327683 TUV327683:TUW327683 UER327683:UES327683 UON327683:UOO327683 UYJ327683:UYK327683 VIF327683:VIG327683 VSB327683:VSC327683 WBX327683:WBY327683 WLT327683:WLU327683 WVP327683:WVQ327683 H393219:I393219 JD393219:JE393219 SZ393219:TA393219 ACV393219:ACW393219 AMR393219:AMS393219 AWN393219:AWO393219 BGJ393219:BGK393219 BQF393219:BQG393219 CAB393219:CAC393219 CJX393219:CJY393219 CTT393219:CTU393219 DDP393219:DDQ393219 DNL393219:DNM393219 DXH393219:DXI393219 EHD393219:EHE393219 EQZ393219:ERA393219 FAV393219:FAW393219 FKR393219:FKS393219 FUN393219:FUO393219 GEJ393219:GEK393219 GOF393219:GOG393219 GYB393219:GYC393219 HHX393219:HHY393219 HRT393219:HRU393219 IBP393219:IBQ393219 ILL393219:ILM393219 IVH393219:IVI393219 JFD393219:JFE393219 JOZ393219:JPA393219 JYV393219:JYW393219 KIR393219:KIS393219 KSN393219:KSO393219 LCJ393219:LCK393219 LMF393219:LMG393219 LWB393219:LWC393219 MFX393219:MFY393219 MPT393219:MPU393219 MZP393219:MZQ393219 NJL393219:NJM393219 NTH393219:NTI393219 ODD393219:ODE393219 OMZ393219:ONA393219 OWV393219:OWW393219 PGR393219:PGS393219 PQN393219:PQO393219 QAJ393219:QAK393219 QKF393219:QKG393219 QUB393219:QUC393219 RDX393219:RDY393219 RNT393219:RNU393219 RXP393219:RXQ393219 SHL393219:SHM393219 SRH393219:SRI393219 TBD393219:TBE393219 TKZ393219:TLA393219 TUV393219:TUW393219 UER393219:UES393219 UON393219:UOO393219 UYJ393219:UYK393219 VIF393219:VIG393219 VSB393219:VSC393219 WBX393219:WBY393219 WLT393219:WLU393219 WVP393219:WVQ393219 H458755:I458755 JD458755:JE458755 SZ458755:TA458755 ACV458755:ACW458755 AMR458755:AMS458755 AWN458755:AWO458755 BGJ458755:BGK458755 BQF458755:BQG458755 CAB458755:CAC458755 CJX458755:CJY458755 CTT458755:CTU458755 DDP458755:DDQ458755 DNL458755:DNM458755 DXH458755:DXI458755 EHD458755:EHE458755 EQZ458755:ERA458755 FAV458755:FAW458755 FKR458755:FKS458755 FUN458755:FUO458755 GEJ458755:GEK458755 GOF458755:GOG458755 GYB458755:GYC458755 HHX458755:HHY458755 HRT458755:HRU458755 IBP458755:IBQ458755 ILL458755:ILM458755 IVH458755:IVI458755 JFD458755:JFE458755 JOZ458755:JPA458755 JYV458755:JYW458755 KIR458755:KIS458755 KSN458755:KSO458755 LCJ458755:LCK458755 LMF458755:LMG458755 LWB458755:LWC458755 MFX458755:MFY458755 MPT458755:MPU458755 MZP458755:MZQ458755 NJL458755:NJM458755 NTH458755:NTI458755 ODD458755:ODE458755 OMZ458755:ONA458755 OWV458755:OWW458755 PGR458755:PGS458755 PQN458755:PQO458755 QAJ458755:QAK458755 QKF458755:QKG458755 QUB458755:QUC458755 RDX458755:RDY458755 RNT458755:RNU458755 RXP458755:RXQ458755 SHL458755:SHM458755 SRH458755:SRI458755 TBD458755:TBE458755 TKZ458755:TLA458755 TUV458755:TUW458755 UER458755:UES458755 UON458755:UOO458755 UYJ458755:UYK458755 VIF458755:VIG458755 VSB458755:VSC458755 WBX458755:WBY458755 WLT458755:WLU458755 WVP458755:WVQ458755 H524291:I524291 JD524291:JE524291 SZ524291:TA524291 ACV524291:ACW524291 AMR524291:AMS524291 AWN524291:AWO524291 BGJ524291:BGK524291 BQF524291:BQG524291 CAB524291:CAC524291 CJX524291:CJY524291 CTT524291:CTU524291 DDP524291:DDQ524291 DNL524291:DNM524291 DXH524291:DXI524291 EHD524291:EHE524291 EQZ524291:ERA524291 FAV524291:FAW524291 FKR524291:FKS524291 FUN524291:FUO524291 GEJ524291:GEK524291 GOF524291:GOG524291 GYB524291:GYC524291 HHX524291:HHY524291 HRT524291:HRU524291 IBP524291:IBQ524291 ILL524291:ILM524291 IVH524291:IVI524291 JFD524291:JFE524291 JOZ524291:JPA524291 JYV524291:JYW524291 KIR524291:KIS524291 KSN524291:KSO524291 LCJ524291:LCK524291 LMF524291:LMG524291 LWB524291:LWC524291 MFX524291:MFY524291 MPT524291:MPU524291 MZP524291:MZQ524291 NJL524291:NJM524291 NTH524291:NTI524291 ODD524291:ODE524291 OMZ524291:ONA524291 OWV524291:OWW524291 PGR524291:PGS524291 PQN524291:PQO524291 QAJ524291:QAK524291 QKF524291:QKG524291 QUB524291:QUC524291 RDX524291:RDY524291 RNT524291:RNU524291 RXP524291:RXQ524291 SHL524291:SHM524291 SRH524291:SRI524291 TBD524291:TBE524291 TKZ524291:TLA524291 TUV524291:TUW524291 UER524291:UES524291 UON524291:UOO524291 UYJ524291:UYK524291 VIF524291:VIG524291 VSB524291:VSC524291 WBX524291:WBY524291 WLT524291:WLU524291 WVP524291:WVQ524291 H589827:I589827 JD589827:JE589827 SZ589827:TA589827 ACV589827:ACW589827 AMR589827:AMS589827 AWN589827:AWO589827 BGJ589827:BGK589827 BQF589827:BQG589827 CAB589827:CAC589827 CJX589827:CJY589827 CTT589827:CTU589827 DDP589827:DDQ589827 DNL589827:DNM589827 DXH589827:DXI589827 EHD589827:EHE589827 EQZ589827:ERA589827 FAV589827:FAW589827 FKR589827:FKS589827 FUN589827:FUO589827 GEJ589827:GEK589827 GOF589827:GOG589827 GYB589827:GYC589827 HHX589827:HHY589827 HRT589827:HRU589827 IBP589827:IBQ589827 ILL589827:ILM589827 IVH589827:IVI589827 JFD589827:JFE589827 JOZ589827:JPA589827 JYV589827:JYW589827 KIR589827:KIS589827 KSN589827:KSO589827 LCJ589827:LCK589827 LMF589827:LMG589827 LWB589827:LWC589827 MFX589827:MFY589827 MPT589827:MPU589827 MZP589827:MZQ589827 NJL589827:NJM589827 NTH589827:NTI589827 ODD589827:ODE589827 OMZ589827:ONA589827 OWV589827:OWW589827 PGR589827:PGS589827 PQN589827:PQO589827 QAJ589827:QAK589827 QKF589827:QKG589827 QUB589827:QUC589827 RDX589827:RDY589827 RNT589827:RNU589827 RXP589827:RXQ589827 SHL589827:SHM589827 SRH589827:SRI589827 TBD589827:TBE589827 TKZ589827:TLA589827 TUV589827:TUW589827 UER589827:UES589827 UON589827:UOO589827 UYJ589827:UYK589827 VIF589827:VIG589827 VSB589827:VSC589827 WBX589827:WBY589827 WLT589827:WLU589827 WVP589827:WVQ589827 H655363:I655363 JD655363:JE655363 SZ655363:TA655363 ACV655363:ACW655363 AMR655363:AMS655363 AWN655363:AWO655363 BGJ655363:BGK655363 BQF655363:BQG655363 CAB655363:CAC655363 CJX655363:CJY655363 CTT655363:CTU655363 DDP655363:DDQ655363 DNL655363:DNM655363 DXH655363:DXI655363 EHD655363:EHE655363 EQZ655363:ERA655363 FAV655363:FAW655363 FKR655363:FKS655363 FUN655363:FUO655363 GEJ655363:GEK655363 GOF655363:GOG655363 GYB655363:GYC655363 HHX655363:HHY655363 HRT655363:HRU655363 IBP655363:IBQ655363 ILL655363:ILM655363 IVH655363:IVI655363 JFD655363:JFE655363 JOZ655363:JPA655363 JYV655363:JYW655363 KIR655363:KIS655363 KSN655363:KSO655363 LCJ655363:LCK655363 LMF655363:LMG655363 LWB655363:LWC655363 MFX655363:MFY655363 MPT655363:MPU655363 MZP655363:MZQ655363 NJL655363:NJM655363 NTH655363:NTI655363 ODD655363:ODE655363 OMZ655363:ONA655363 OWV655363:OWW655363 PGR655363:PGS655363 PQN655363:PQO655363 QAJ655363:QAK655363 QKF655363:QKG655363 QUB655363:QUC655363 RDX655363:RDY655363 RNT655363:RNU655363 RXP655363:RXQ655363 SHL655363:SHM655363 SRH655363:SRI655363 TBD655363:TBE655363 TKZ655363:TLA655363 TUV655363:TUW655363 UER655363:UES655363 UON655363:UOO655363 UYJ655363:UYK655363 VIF655363:VIG655363 VSB655363:VSC655363 WBX655363:WBY655363 WLT655363:WLU655363 WVP655363:WVQ655363 H720899:I720899 JD720899:JE720899 SZ720899:TA720899 ACV720899:ACW720899 AMR720899:AMS720899 AWN720899:AWO720899 BGJ720899:BGK720899 BQF720899:BQG720899 CAB720899:CAC720899 CJX720899:CJY720899 CTT720899:CTU720899 DDP720899:DDQ720899 DNL720899:DNM720899 DXH720899:DXI720899 EHD720899:EHE720899 EQZ720899:ERA720899 FAV720899:FAW720899 FKR720899:FKS720899 FUN720899:FUO720899 GEJ720899:GEK720899 GOF720899:GOG720899 GYB720899:GYC720899 HHX720899:HHY720899 HRT720899:HRU720899 IBP720899:IBQ720899 ILL720899:ILM720899 IVH720899:IVI720899 JFD720899:JFE720899 JOZ720899:JPA720899 JYV720899:JYW720899 KIR720899:KIS720899 KSN720899:KSO720899 LCJ720899:LCK720899 LMF720899:LMG720899 LWB720899:LWC720899 MFX720899:MFY720899 MPT720899:MPU720899 MZP720899:MZQ720899 NJL720899:NJM720899 NTH720899:NTI720899 ODD720899:ODE720899 OMZ720899:ONA720899 OWV720899:OWW720899 PGR720899:PGS720899 PQN720899:PQO720899 QAJ720899:QAK720899 QKF720899:QKG720899 QUB720899:QUC720899 RDX720899:RDY720899 RNT720899:RNU720899 RXP720899:RXQ720899 SHL720899:SHM720899 SRH720899:SRI720899 TBD720899:TBE720899 TKZ720899:TLA720899 TUV720899:TUW720899 UER720899:UES720899 UON720899:UOO720899 UYJ720899:UYK720899 VIF720899:VIG720899 VSB720899:VSC720899 WBX720899:WBY720899 WLT720899:WLU720899 WVP720899:WVQ720899 H786435:I786435 JD786435:JE786435 SZ786435:TA786435 ACV786435:ACW786435 AMR786435:AMS786435 AWN786435:AWO786435 BGJ786435:BGK786435 BQF786435:BQG786435 CAB786435:CAC786435 CJX786435:CJY786435 CTT786435:CTU786435 DDP786435:DDQ786435 DNL786435:DNM786435 DXH786435:DXI786435 EHD786435:EHE786435 EQZ786435:ERA786435 FAV786435:FAW786435 FKR786435:FKS786435 FUN786435:FUO786435 GEJ786435:GEK786435 GOF786435:GOG786435 GYB786435:GYC786435 HHX786435:HHY786435 HRT786435:HRU786435 IBP786435:IBQ786435 ILL786435:ILM786435 IVH786435:IVI786435 JFD786435:JFE786435 JOZ786435:JPA786435 JYV786435:JYW786435 KIR786435:KIS786435 KSN786435:KSO786435 LCJ786435:LCK786435 LMF786435:LMG786435 LWB786435:LWC786435 MFX786435:MFY786435 MPT786435:MPU786435 MZP786435:MZQ786435 NJL786435:NJM786435 NTH786435:NTI786435 ODD786435:ODE786435 OMZ786435:ONA786435 OWV786435:OWW786435 PGR786435:PGS786435 PQN786435:PQO786435 QAJ786435:QAK786435 QKF786435:QKG786435 QUB786435:QUC786435 RDX786435:RDY786435 RNT786435:RNU786435 RXP786435:RXQ786435 SHL786435:SHM786435 SRH786435:SRI786435 TBD786435:TBE786435 TKZ786435:TLA786435 TUV786435:TUW786435 UER786435:UES786435 UON786435:UOO786435 UYJ786435:UYK786435 VIF786435:VIG786435 VSB786435:VSC786435 WBX786435:WBY786435 WLT786435:WLU786435 WVP786435:WVQ786435 H851971:I851971 JD851971:JE851971 SZ851971:TA851971 ACV851971:ACW851971 AMR851971:AMS851971 AWN851971:AWO851971 BGJ851971:BGK851971 BQF851971:BQG851971 CAB851971:CAC851971 CJX851971:CJY851971 CTT851971:CTU851971 DDP851971:DDQ851971 DNL851971:DNM851971 DXH851971:DXI851971 EHD851971:EHE851971 EQZ851971:ERA851971 FAV851971:FAW851971 FKR851971:FKS851971 FUN851971:FUO851971 GEJ851971:GEK851971 GOF851971:GOG851971 GYB851971:GYC851971 HHX851971:HHY851971 HRT851971:HRU851971 IBP851971:IBQ851971 ILL851971:ILM851971 IVH851971:IVI851971 JFD851971:JFE851971 JOZ851971:JPA851971 JYV851971:JYW851971 KIR851971:KIS851971 KSN851971:KSO851971 LCJ851971:LCK851971 LMF851971:LMG851971 LWB851971:LWC851971 MFX851971:MFY851971 MPT851971:MPU851971 MZP851971:MZQ851971 NJL851971:NJM851971 NTH851971:NTI851971 ODD851971:ODE851971 OMZ851971:ONA851971 OWV851971:OWW851971 PGR851971:PGS851971 PQN851971:PQO851971 QAJ851971:QAK851971 QKF851971:QKG851971 QUB851971:QUC851971 RDX851971:RDY851971 RNT851971:RNU851971 RXP851971:RXQ851971 SHL851971:SHM851971 SRH851971:SRI851971 TBD851971:TBE851971 TKZ851971:TLA851971 TUV851971:TUW851971 UER851971:UES851971 UON851971:UOO851971 UYJ851971:UYK851971 VIF851971:VIG851971 VSB851971:VSC851971 WBX851971:WBY851971 WLT851971:WLU851971 WVP851971:WVQ851971 H917507:I917507 JD917507:JE917507 SZ917507:TA917507 ACV917507:ACW917507 AMR917507:AMS917507 AWN917507:AWO917507 BGJ917507:BGK917507 BQF917507:BQG917507 CAB917507:CAC917507 CJX917507:CJY917507 CTT917507:CTU917507 DDP917507:DDQ917507 DNL917507:DNM917507 DXH917507:DXI917507 EHD917507:EHE917507 EQZ917507:ERA917507 FAV917507:FAW917507 FKR917507:FKS917507 FUN917507:FUO917507 GEJ917507:GEK917507 GOF917507:GOG917507 GYB917507:GYC917507 HHX917507:HHY917507 HRT917507:HRU917507 IBP917507:IBQ917507 ILL917507:ILM917507 IVH917507:IVI917507 JFD917507:JFE917507 JOZ917507:JPA917507 JYV917507:JYW917507 KIR917507:KIS917507 KSN917507:KSO917507 LCJ917507:LCK917507 LMF917507:LMG917507 LWB917507:LWC917507 MFX917507:MFY917507 MPT917507:MPU917507 MZP917507:MZQ917507 NJL917507:NJM917507 NTH917507:NTI917507 ODD917507:ODE917507 OMZ917507:ONA917507 OWV917507:OWW917507 PGR917507:PGS917507 PQN917507:PQO917507 QAJ917507:QAK917507 QKF917507:QKG917507 QUB917507:QUC917507 RDX917507:RDY917507 RNT917507:RNU917507 RXP917507:RXQ917507 SHL917507:SHM917507 SRH917507:SRI917507 TBD917507:TBE917507 TKZ917507:TLA917507 TUV917507:TUW917507 UER917507:UES917507 UON917507:UOO917507 UYJ917507:UYK917507 VIF917507:VIG917507 VSB917507:VSC917507 WBX917507:WBY917507 WLT917507:WLU917507 WVP917507:WVQ917507 H983043:I983043 JD983043:JE983043 SZ983043:TA983043 ACV983043:ACW983043 AMR983043:AMS983043 AWN983043:AWO983043 BGJ983043:BGK983043 BQF983043:BQG983043 CAB983043:CAC983043 CJX983043:CJY983043 CTT983043:CTU983043 DDP983043:DDQ983043 DNL983043:DNM983043 DXH983043:DXI983043 EHD983043:EHE983043 EQZ983043:ERA983043 FAV983043:FAW983043 FKR983043:FKS983043 FUN983043:FUO983043 GEJ983043:GEK983043 GOF983043:GOG983043 GYB983043:GYC983043 HHX983043:HHY983043 HRT983043:HRU983043 IBP983043:IBQ983043 ILL983043:ILM983043 IVH983043:IVI983043 JFD983043:JFE983043 JOZ983043:JPA983043 JYV983043:JYW983043 KIR983043:KIS983043 KSN983043:KSO983043 LCJ983043:LCK983043 LMF983043:LMG983043 LWB983043:LWC983043 MFX983043:MFY983043 MPT983043:MPU983043 MZP983043:MZQ983043 NJL983043:NJM983043 NTH983043:NTI983043 ODD983043:ODE983043 OMZ983043:ONA983043 OWV983043:OWW983043 PGR983043:PGS983043 PQN983043:PQO983043 QAJ983043:QAK983043 QKF983043:QKG983043 QUB983043:QUC983043 RDX983043:RDY983043 RNT983043:RNU983043 RXP983043:RXQ983043 SHL983043:SHM983043 SRH983043:SRI983043 TBD983043:TBE983043 TKZ983043:TLA983043 TUV983043:TUW983043 UER983043:UES983043 UON983043:UOO983043 UYJ983043:UYK983043 VIF983043:VIG983043 VSB983043:VSC983043 WBX983043:WBY983043 WLT983043:WLU983043 WVP983043:WVQ983043" xr:uid="{30CE082F-EB2E-4678-A89C-9C8B621AE44C}">
      <formula1>$S$66:$U$66</formula1>
    </dataValidation>
    <dataValidation type="list" allowBlank="1" showInputMessage="1" showErrorMessage="1" sqref="H23:I23 JD23:JE23 SZ23:TA23 ACV23:ACW23 AMR23:AMS23 AWN23:AWO23 BGJ23:BGK23 BQF23:BQG23 CAB23:CAC23 CJX23:CJY23 CTT23:CTU23 DDP23:DDQ23 DNL23:DNM23 DXH23:DXI23 EHD23:EHE23 EQZ23:ERA23 FAV23:FAW23 FKR23:FKS23 FUN23:FUO23 GEJ23:GEK23 GOF23:GOG23 GYB23:GYC23 HHX23:HHY23 HRT23:HRU23 IBP23:IBQ23 ILL23:ILM23 IVH23:IVI23 JFD23:JFE23 JOZ23:JPA23 JYV23:JYW23 KIR23:KIS23 KSN23:KSO23 LCJ23:LCK23 LMF23:LMG23 LWB23:LWC23 MFX23:MFY23 MPT23:MPU23 MZP23:MZQ23 NJL23:NJM23 NTH23:NTI23 ODD23:ODE23 OMZ23:ONA23 OWV23:OWW23 PGR23:PGS23 PQN23:PQO23 QAJ23:QAK23 QKF23:QKG23 QUB23:QUC23 RDX23:RDY23 RNT23:RNU23 RXP23:RXQ23 SHL23:SHM23 SRH23:SRI23 TBD23:TBE23 TKZ23:TLA23 TUV23:TUW23 UER23:UES23 UON23:UOO23 UYJ23:UYK23 VIF23:VIG23 VSB23:VSC23 WBX23:WBY23 WLT23:WLU23 WVP23:WVQ23 H65559:I65559 JD65559:JE65559 SZ65559:TA65559 ACV65559:ACW65559 AMR65559:AMS65559 AWN65559:AWO65559 BGJ65559:BGK65559 BQF65559:BQG65559 CAB65559:CAC65559 CJX65559:CJY65559 CTT65559:CTU65559 DDP65559:DDQ65559 DNL65559:DNM65559 DXH65559:DXI65559 EHD65559:EHE65559 EQZ65559:ERA65559 FAV65559:FAW65559 FKR65559:FKS65559 FUN65559:FUO65559 GEJ65559:GEK65559 GOF65559:GOG65559 GYB65559:GYC65559 HHX65559:HHY65559 HRT65559:HRU65559 IBP65559:IBQ65559 ILL65559:ILM65559 IVH65559:IVI65559 JFD65559:JFE65559 JOZ65559:JPA65559 JYV65559:JYW65559 KIR65559:KIS65559 KSN65559:KSO65559 LCJ65559:LCK65559 LMF65559:LMG65559 LWB65559:LWC65559 MFX65559:MFY65559 MPT65559:MPU65559 MZP65559:MZQ65559 NJL65559:NJM65559 NTH65559:NTI65559 ODD65559:ODE65559 OMZ65559:ONA65559 OWV65559:OWW65559 PGR65559:PGS65559 PQN65559:PQO65559 QAJ65559:QAK65559 QKF65559:QKG65559 QUB65559:QUC65559 RDX65559:RDY65559 RNT65559:RNU65559 RXP65559:RXQ65559 SHL65559:SHM65559 SRH65559:SRI65559 TBD65559:TBE65559 TKZ65559:TLA65559 TUV65559:TUW65559 UER65559:UES65559 UON65559:UOO65559 UYJ65559:UYK65559 VIF65559:VIG65559 VSB65559:VSC65559 WBX65559:WBY65559 WLT65559:WLU65559 WVP65559:WVQ65559 H131095:I131095 JD131095:JE131095 SZ131095:TA131095 ACV131095:ACW131095 AMR131095:AMS131095 AWN131095:AWO131095 BGJ131095:BGK131095 BQF131095:BQG131095 CAB131095:CAC131095 CJX131095:CJY131095 CTT131095:CTU131095 DDP131095:DDQ131095 DNL131095:DNM131095 DXH131095:DXI131095 EHD131095:EHE131095 EQZ131095:ERA131095 FAV131095:FAW131095 FKR131095:FKS131095 FUN131095:FUO131095 GEJ131095:GEK131095 GOF131095:GOG131095 GYB131095:GYC131095 HHX131095:HHY131095 HRT131095:HRU131095 IBP131095:IBQ131095 ILL131095:ILM131095 IVH131095:IVI131095 JFD131095:JFE131095 JOZ131095:JPA131095 JYV131095:JYW131095 KIR131095:KIS131095 KSN131095:KSO131095 LCJ131095:LCK131095 LMF131095:LMG131095 LWB131095:LWC131095 MFX131095:MFY131095 MPT131095:MPU131095 MZP131095:MZQ131095 NJL131095:NJM131095 NTH131095:NTI131095 ODD131095:ODE131095 OMZ131095:ONA131095 OWV131095:OWW131095 PGR131095:PGS131095 PQN131095:PQO131095 QAJ131095:QAK131095 QKF131095:QKG131095 QUB131095:QUC131095 RDX131095:RDY131095 RNT131095:RNU131095 RXP131095:RXQ131095 SHL131095:SHM131095 SRH131095:SRI131095 TBD131095:TBE131095 TKZ131095:TLA131095 TUV131095:TUW131095 UER131095:UES131095 UON131095:UOO131095 UYJ131095:UYK131095 VIF131095:VIG131095 VSB131095:VSC131095 WBX131095:WBY131095 WLT131095:WLU131095 WVP131095:WVQ131095 H196631:I196631 JD196631:JE196631 SZ196631:TA196631 ACV196631:ACW196631 AMR196631:AMS196631 AWN196631:AWO196631 BGJ196631:BGK196631 BQF196631:BQG196631 CAB196631:CAC196631 CJX196631:CJY196631 CTT196631:CTU196631 DDP196631:DDQ196631 DNL196631:DNM196631 DXH196631:DXI196631 EHD196631:EHE196631 EQZ196631:ERA196631 FAV196631:FAW196631 FKR196631:FKS196631 FUN196631:FUO196631 GEJ196631:GEK196631 GOF196631:GOG196631 GYB196631:GYC196631 HHX196631:HHY196631 HRT196631:HRU196631 IBP196631:IBQ196631 ILL196631:ILM196631 IVH196631:IVI196631 JFD196631:JFE196631 JOZ196631:JPA196631 JYV196631:JYW196631 KIR196631:KIS196631 KSN196631:KSO196631 LCJ196631:LCK196631 LMF196631:LMG196631 LWB196631:LWC196631 MFX196631:MFY196631 MPT196631:MPU196631 MZP196631:MZQ196631 NJL196631:NJM196631 NTH196631:NTI196631 ODD196631:ODE196631 OMZ196631:ONA196631 OWV196631:OWW196631 PGR196631:PGS196631 PQN196631:PQO196631 QAJ196631:QAK196631 QKF196631:QKG196631 QUB196631:QUC196631 RDX196631:RDY196631 RNT196631:RNU196631 RXP196631:RXQ196631 SHL196631:SHM196631 SRH196631:SRI196631 TBD196631:TBE196631 TKZ196631:TLA196631 TUV196631:TUW196631 UER196631:UES196631 UON196631:UOO196631 UYJ196631:UYK196631 VIF196631:VIG196631 VSB196631:VSC196631 WBX196631:WBY196631 WLT196631:WLU196631 WVP196631:WVQ196631 H262167:I262167 JD262167:JE262167 SZ262167:TA262167 ACV262167:ACW262167 AMR262167:AMS262167 AWN262167:AWO262167 BGJ262167:BGK262167 BQF262167:BQG262167 CAB262167:CAC262167 CJX262167:CJY262167 CTT262167:CTU262167 DDP262167:DDQ262167 DNL262167:DNM262167 DXH262167:DXI262167 EHD262167:EHE262167 EQZ262167:ERA262167 FAV262167:FAW262167 FKR262167:FKS262167 FUN262167:FUO262167 GEJ262167:GEK262167 GOF262167:GOG262167 GYB262167:GYC262167 HHX262167:HHY262167 HRT262167:HRU262167 IBP262167:IBQ262167 ILL262167:ILM262167 IVH262167:IVI262167 JFD262167:JFE262167 JOZ262167:JPA262167 JYV262167:JYW262167 KIR262167:KIS262167 KSN262167:KSO262167 LCJ262167:LCK262167 LMF262167:LMG262167 LWB262167:LWC262167 MFX262167:MFY262167 MPT262167:MPU262167 MZP262167:MZQ262167 NJL262167:NJM262167 NTH262167:NTI262167 ODD262167:ODE262167 OMZ262167:ONA262167 OWV262167:OWW262167 PGR262167:PGS262167 PQN262167:PQO262167 QAJ262167:QAK262167 QKF262167:QKG262167 QUB262167:QUC262167 RDX262167:RDY262167 RNT262167:RNU262167 RXP262167:RXQ262167 SHL262167:SHM262167 SRH262167:SRI262167 TBD262167:TBE262167 TKZ262167:TLA262167 TUV262167:TUW262167 UER262167:UES262167 UON262167:UOO262167 UYJ262167:UYK262167 VIF262167:VIG262167 VSB262167:VSC262167 WBX262167:WBY262167 WLT262167:WLU262167 WVP262167:WVQ262167 H327703:I327703 JD327703:JE327703 SZ327703:TA327703 ACV327703:ACW327703 AMR327703:AMS327703 AWN327703:AWO327703 BGJ327703:BGK327703 BQF327703:BQG327703 CAB327703:CAC327703 CJX327703:CJY327703 CTT327703:CTU327703 DDP327703:DDQ327703 DNL327703:DNM327703 DXH327703:DXI327703 EHD327703:EHE327703 EQZ327703:ERA327703 FAV327703:FAW327703 FKR327703:FKS327703 FUN327703:FUO327703 GEJ327703:GEK327703 GOF327703:GOG327703 GYB327703:GYC327703 HHX327703:HHY327703 HRT327703:HRU327703 IBP327703:IBQ327703 ILL327703:ILM327703 IVH327703:IVI327703 JFD327703:JFE327703 JOZ327703:JPA327703 JYV327703:JYW327703 KIR327703:KIS327703 KSN327703:KSO327703 LCJ327703:LCK327703 LMF327703:LMG327703 LWB327703:LWC327703 MFX327703:MFY327703 MPT327703:MPU327703 MZP327703:MZQ327703 NJL327703:NJM327703 NTH327703:NTI327703 ODD327703:ODE327703 OMZ327703:ONA327703 OWV327703:OWW327703 PGR327703:PGS327703 PQN327703:PQO327703 QAJ327703:QAK327703 QKF327703:QKG327703 QUB327703:QUC327703 RDX327703:RDY327703 RNT327703:RNU327703 RXP327703:RXQ327703 SHL327703:SHM327703 SRH327703:SRI327703 TBD327703:TBE327703 TKZ327703:TLA327703 TUV327703:TUW327703 UER327703:UES327703 UON327703:UOO327703 UYJ327703:UYK327703 VIF327703:VIG327703 VSB327703:VSC327703 WBX327703:WBY327703 WLT327703:WLU327703 WVP327703:WVQ327703 H393239:I393239 JD393239:JE393239 SZ393239:TA393239 ACV393239:ACW393239 AMR393239:AMS393239 AWN393239:AWO393239 BGJ393239:BGK393239 BQF393239:BQG393239 CAB393239:CAC393239 CJX393239:CJY393239 CTT393239:CTU393239 DDP393239:DDQ393239 DNL393239:DNM393239 DXH393239:DXI393239 EHD393239:EHE393239 EQZ393239:ERA393239 FAV393239:FAW393239 FKR393239:FKS393239 FUN393239:FUO393239 GEJ393239:GEK393239 GOF393239:GOG393239 GYB393239:GYC393239 HHX393239:HHY393239 HRT393239:HRU393239 IBP393239:IBQ393239 ILL393239:ILM393239 IVH393239:IVI393239 JFD393239:JFE393239 JOZ393239:JPA393239 JYV393239:JYW393239 KIR393239:KIS393239 KSN393239:KSO393239 LCJ393239:LCK393239 LMF393239:LMG393239 LWB393239:LWC393239 MFX393239:MFY393239 MPT393239:MPU393239 MZP393239:MZQ393239 NJL393239:NJM393239 NTH393239:NTI393239 ODD393239:ODE393239 OMZ393239:ONA393239 OWV393239:OWW393239 PGR393239:PGS393239 PQN393239:PQO393239 QAJ393239:QAK393239 QKF393239:QKG393239 QUB393239:QUC393239 RDX393239:RDY393239 RNT393239:RNU393239 RXP393239:RXQ393239 SHL393239:SHM393239 SRH393239:SRI393239 TBD393239:TBE393239 TKZ393239:TLA393239 TUV393239:TUW393239 UER393239:UES393239 UON393239:UOO393239 UYJ393239:UYK393239 VIF393239:VIG393239 VSB393239:VSC393239 WBX393239:WBY393239 WLT393239:WLU393239 WVP393239:WVQ393239 H458775:I458775 JD458775:JE458775 SZ458775:TA458775 ACV458775:ACW458775 AMR458775:AMS458775 AWN458775:AWO458775 BGJ458775:BGK458775 BQF458775:BQG458775 CAB458775:CAC458775 CJX458775:CJY458775 CTT458775:CTU458775 DDP458775:DDQ458775 DNL458775:DNM458775 DXH458775:DXI458775 EHD458775:EHE458775 EQZ458775:ERA458775 FAV458775:FAW458775 FKR458775:FKS458775 FUN458775:FUO458775 GEJ458775:GEK458775 GOF458775:GOG458775 GYB458775:GYC458775 HHX458775:HHY458775 HRT458775:HRU458775 IBP458775:IBQ458775 ILL458775:ILM458775 IVH458775:IVI458775 JFD458775:JFE458775 JOZ458775:JPA458775 JYV458775:JYW458775 KIR458775:KIS458775 KSN458775:KSO458775 LCJ458775:LCK458775 LMF458775:LMG458775 LWB458775:LWC458775 MFX458775:MFY458775 MPT458775:MPU458775 MZP458775:MZQ458775 NJL458775:NJM458775 NTH458775:NTI458775 ODD458775:ODE458775 OMZ458775:ONA458775 OWV458775:OWW458775 PGR458775:PGS458775 PQN458775:PQO458775 QAJ458775:QAK458775 QKF458775:QKG458775 QUB458775:QUC458775 RDX458775:RDY458775 RNT458775:RNU458775 RXP458775:RXQ458775 SHL458775:SHM458775 SRH458775:SRI458775 TBD458775:TBE458775 TKZ458775:TLA458775 TUV458775:TUW458775 UER458775:UES458775 UON458775:UOO458775 UYJ458775:UYK458775 VIF458775:VIG458775 VSB458775:VSC458775 WBX458775:WBY458775 WLT458775:WLU458775 WVP458775:WVQ458775 H524311:I524311 JD524311:JE524311 SZ524311:TA524311 ACV524311:ACW524311 AMR524311:AMS524311 AWN524311:AWO524311 BGJ524311:BGK524311 BQF524311:BQG524311 CAB524311:CAC524311 CJX524311:CJY524311 CTT524311:CTU524311 DDP524311:DDQ524311 DNL524311:DNM524311 DXH524311:DXI524311 EHD524311:EHE524311 EQZ524311:ERA524311 FAV524311:FAW524311 FKR524311:FKS524311 FUN524311:FUO524311 GEJ524311:GEK524311 GOF524311:GOG524311 GYB524311:GYC524311 HHX524311:HHY524311 HRT524311:HRU524311 IBP524311:IBQ524311 ILL524311:ILM524311 IVH524311:IVI524311 JFD524311:JFE524311 JOZ524311:JPA524311 JYV524311:JYW524311 KIR524311:KIS524311 KSN524311:KSO524311 LCJ524311:LCK524311 LMF524311:LMG524311 LWB524311:LWC524311 MFX524311:MFY524311 MPT524311:MPU524311 MZP524311:MZQ524311 NJL524311:NJM524311 NTH524311:NTI524311 ODD524311:ODE524311 OMZ524311:ONA524311 OWV524311:OWW524311 PGR524311:PGS524311 PQN524311:PQO524311 QAJ524311:QAK524311 QKF524311:QKG524311 QUB524311:QUC524311 RDX524311:RDY524311 RNT524311:RNU524311 RXP524311:RXQ524311 SHL524311:SHM524311 SRH524311:SRI524311 TBD524311:TBE524311 TKZ524311:TLA524311 TUV524311:TUW524311 UER524311:UES524311 UON524311:UOO524311 UYJ524311:UYK524311 VIF524311:VIG524311 VSB524311:VSC524311 WBX524311:WBY524311 WLT524311:WLU524311 WVP524311:WVQ524311 H589847:I589847 JD589847:JE589847 SZ589847:TA589847 ACV589847:ACW589847 AMR589847:AMS589847 AWN589847:AWO589847 BGJ589847:BGK589847 BQF589847:BQG589847 CAB589847:CAC589847 CJX589847:CJY589847 CTT589847:CTU589847 DDP589847:DDQ589847 DNL589847:DNM589847 DXH589847:DXI589847 EHD589847:EHE589847 EQZ589847:ERA589847 FAV589847:FAW589847 FKR589847:FKS589847 FUN589847:FUO589847 GEJ589847:GEK589847 GOF589847:GOG589847 GYB589847:GYC589847 HHX589847:HHY589847 HRT589847:HRU589847 IBP589847:IBQ589847 ILL589847:ILM589847 IVH589847:IVI589847 JFD589847:JFE589847 JOZ589847:JPA589847 JYV589847:JYW589847 KIR589847:KIS589847 KSN589847:KSO589847 LCJ589847:LCK589847 LMF589847:LMG589847 LWB589847:LWC589847 MFX589847:MFY589847 MPT589847:MPU589847 MZP589847:MZQ589847 NJL589847:NJM589847 NTH589847:NTI589847 ODD589847:ODE589847 OMZ589847:ONA589847 OWV589847:OWW589847 PGR589847:PGS589847 PQN589847:PQO589847 QAJ589847:QAK589847 QKF589847:QKG589847 QUB589847:QUC589847 RDX589847:RDY589847 RNT589847:RNU589847 RXP589847:RXQ589847 SHL589847:SHM589847 SRH589847:SRI589847 TBD589847:TBE589847 TKZ589847:TLA589847 TUV589847:TUW589847 UER589847:UES589847 UON589847:UOO589847 UYJ589847:UYK589847 VIF589847:VIG589847 VSB589847:VSC589847 WBX589847:WBY589847 WLT589847:WLU589847 WVP589847:WVQ589847 H655383:I655383 JD655383:JE655383 SZ655383:TA655383 ACV655383:ACW655383 AMR655383:AMS655383 AWN655383:AWO655383 BGJ655383:BGK655383 BQF655383:BQG655383 CAB655383:CAC655383 CJX655383:CJY655383 CTT655383:CTU655383 DDP655383:DDQ655383 DNL655383:DNM655383 DXH655383:DXI655383 EHD655383:EHE655383 EQZ655383:ERA655383 FAV655383:FAW655383 FKR655383:FKS655383 FUN655383:FUO655383 GEJ655383:GEK655383 GOF655383:GOG655383 GYB655383:GYC655383 HHX655383:HHY655383 HRT655383:HRU655383 IBP655383:IBQ655383 ILL655383:ILM655383 IVH655383:IVI655383 JFD655383:JFE655383 JOZ655383:JPA655383 JYV655383:JYW655383 KIR655383:KIS655383 KSN655383:KSO655383 LCJ655383:LCK655383 LMF655383:LMG655383 LWB655383:LWC655383 MFX655383:MFY655383 MPT655383:MPU655383 MZP655383:MZQ655383 NJL655383:NJM655383 NTH655383:NTI655383 ODD655383:ODE655383 OMZ655383:ONA655383 OWV655383:OWW655383 PGR655383:PGS655383 PQN655383:PQO655383 QAJ655383:QAK655383 QKF655383:QKG655383 QUB655383:QUC655383 RDX655383:RDY655383 RNT655383:RNU655383 RXP655383:RXQ655383 SHL655383:SHM655383 SRH655383:SRI655383 TBD655383:TBE655383 TKZ655383:TLA655383 TUV655383:TUW655383 UER655383:UES655383 UON655383:UOO655383 UYJ655383:UYK655383 VIF655383:VIG655383 VSB655383:VSC655383 WBX655383:WBY655383 WLT655383:WLU655383 WVP655383:WVQ655383 H720919:I720919 JD720919:JE720919 SZ720919:TA720919 ACV720919:ACW720919 AMR720919:AMS720919 AWN720919:AWO720919 BGJ720919:BGK720919 BQF720919:BQG720919 CAB720919:CAC720919 CJX720919:CJY720919 CTT720919:CTU720919 DDP720919:DDQ720919 DNL720919:DNM720919 DXH720919:DXI720919 EHD720919:EHE720919 EQZ720919:ERA720919 FAV720919:FAW720919 FKR720919:FKS720919 FUN720919:FUO720919 GEJ720919:GEK720919 GOF720919:GOG720919 GYB720919:GYC720919 HHX720919:HHY720919 HRT720919:HRU720919 IBP720919:IBQ720919 ILL720919:ILM720919 IVH720919:IVI720919 JFD720919:JFE720919 JOZ720919:JPA720919 JYV720919:JYW720919 KIR720919:KIS720919 KSN720919:KSO720919 LCJ720919:LCK720919 LMF720919:LMG720919 LWB720919:LWC720919 MFX720919:MFY720919 MPT720919:MPU720919 MZP720919:MZQ720919 NJL720919:NJM720919 NTH720919:NTI720919 ODD720919:ODE720919 OMZ720919:ONA720919 OWV720919:OWW720919 PGR720919:PGS720919 PQN720919:PQO720919 QAJ720919:QAK720919 QKF720919:QKG720919 QUB720919:QUC720919 RDX720919:RDY720919 RNT720919:RNU720919 RXP720919:RXQ720919 SHL720919:SHM720919 SRH720919:SRI720919 TBD720919:TBE720919 TKZ720919:TLA720919 TUV720919:TUW720919 UER720919:UES720919 UON720919:UOO720919 UYJ720919:UYK720919 VIF720919:VIG720919 VSB720919:VSC720919 WBX720919:WBY720919 WLT720919:WLU720919 WVP720919:WVQ720919 H786455:I786455 JD786455:JE786455 SZ786455:TA786455 ACV786455:ACW786455 AMR786455:AMS786455 AWN786455:AWO786455 BGJ786455:BGK786455 BQF786455:BQG786455 CAB786455:CAC786455 CJX786455:CJY786455 CTT786455:CTU786455 DDP786455:DDQ786455 DNL786455:DNM786455 DXH786455:DXI786455 EHD786455:EHE786455 EQZ786455:ERA786455 FAV786455:FAW786455 FKR786455:FKS786455 FUN786455:FUO786455 GEJ786455:GEK786455 GOF786455:GOG786455 GYB786455:GYC786455 HHX786455:HHY786455 HRT786455:HRU786455 IBP786455:IBQ786455 ILL786455:ILM786455 IVH786455:IVI786455 JFD786455:JFE786455 JOZ786455:JPA786455 JYV786455:JYW786455 KIR786455:KIS786455 KSN786455:KSO786455 LCJ786455:LCK786455 LMF786455:LMG786455 LWB786455:LWC786455 MFX786455:MFY786455 MPT786455:MPU786455 MZP786455:MZQ786455 NJL786455:NJM786455 NTH786455:NTI786455 ODD786455:ODE786455 OMZ786455:ONA786455 OWV786455:OWW786455 PGR786455:PGS786455 PQN786455:PQO786455 QAJ786455:QAK786455 QKF786455:QKG786455 QUB786455:QUC786455 RDX786455:RDY786455 RNT786455:RNU786455 RXP786455:RXQ786455 SHL786455:SHM786455 SRH786455:SRI786455 TBD786455:TBE786455 TKZ786455:TLA786455 TUV786455:TUW786455 UER786455:UES786455 UON786455:UOO786455 UYJ786455:UYK786455 VIF786455:VIG786455 VSB786455:VSC786455 WBX786455:WBY786455 WLT786455:WLU786455 WVP786455:WVQ786455 H851991:I851991 JD851991:JE851991 SZ851991:TA851991 ACV851991:ACW851991 AMR851991:AMS851991 AWN851991:AWO851991 BGJ851991:BGK851991 BQF851991:BQG851991 CAB851991:CAC851991 CJX851991:CJY851991 CTT851991:CTU851991 DDP851991:DDQ851991 DNL851991:DNM851991 DXH851991:DXI851991 EHD851991:EHE851991 EQZ851991:ERA851991 FAV851991:FAW851991 FKR851991:FKS851991 FUN851991:FUO851991 GEJ851991:GEK851991 GOF851991:GOG851991 GYB851991:GYC851991 HHX851991:HHY851991 HRT851991:HRU851991 IBP851991:IBQ851991 ILL851991:ILM851991 IVH851991:IVI851991 JFD851991:JFE851991 JOZ851991:JPA851991 JYV851991:JYW851991 KIR851991:KIS851991 KSN851991:KSO851991 LCJ851991:LCK851991 LMF851991:LMG851991 LWB851991:LWC851991 MFX851991:MFY851991 MPT851991:MPU851991 MZP851991:MZQ851991 NJL851991:NJM851991 NTH851991:NTI851991 ODD851991:ODE851991 OMZ851991:ONA851991 OWV851991:OWW851991 PGR851991:PGS851991 PQN851991:PQO851991 QAJ851991:QAK851991 QKF851991:QKG851991 QUB851991:QUC851991 RDX851991:RDY851991 RNT851991:RNU851991 RXP851991:RXQ851991 SHL851991:SHM851991 SRH851991:SRI851991 TBD851991:TBE851991 TKZ851991:TLA851991 TUV851991:TUW851991 UER851991:UES851991 UON851991:UOO851991 UYJ851991:UYK851991 VIF851991:VIG851991 VSB851991:VSC851991 WBX851991:WBY851991 WLT851991:WLU851991 WVP851991:WVQ851991 H917527:I917527 JD917527:JE917527 SZ917527:TA917527 ACV917527:ACW917527 AMR917527:AMS917527 AWN917527:AWO917527 BGJ917527:BGK917527 BQF917527:BQG917527 CAB917527:CAC917527 CJX917527:CJY917527 CTT917527:CTU917527 DDP917527:DDQ917527 DNL917527:DNM917527 DXH917527:DXI917527 EHD917527:EHE917527 EQZ917527:ERA917527 FAV917527:FAW917527 FKR917527:FKS917527 FUN917527:FUO917527 GEJ917527:GEK917527 GOF917527:GOG917527 GYB917527:GYC917527 HHX917527:HHY917527 HRT917527:HRU917527 IBP917527:IBQ917527 ILL917527:ILM917527 IVH917527:IVI917527 JFD917527:JFE917527 JOZ917527:JPA917527 JYV917527:JYW917527 KIR917527:KIS917527 KSN917527:KSO917527 LCJ917527:LCK917527 LMF917527:LMG917527 LWB917527:LWC917527 MFX917527:MFY917527 MPT917527:MPU917527 MZP917527:MZQ917527 NJL917527:NJM917527 NTH917527:NTI917527 ODD917527:ODE917527 OMZ917527:ONA917527 OWV917527:OWW917527 PGR917527:PGS917527 PQN917527:PQO917527 QAJ917527:QAK917527 QKF917527:QKG917527 QUB917527:QUC917527 RDX917527:RDY917527 RNT917527:RNU917527 RXP917527:RXQ917527 SHL917527:SHM917527 SRH917527:SRI917527 TBD917527:TBE917527 TKZ917527:TLA917527 TUV917527:TUW917527 UER917527:UES917527 UON917527:UOO917527 UYJ917527:UYK917527 VIF917527:VIG917527 VSB917527:VSC917527 WBX917527:WBY917527 WLT917527:WLU917527 WVP917527:WVQ917527 H983063:I983063 JD983063:JE983063 SZ983063:TA983063 ACV983063:ACW983063 AMR983063:AMS983063 AWN983063:AWO983063 BGJ983063:BGK983063 BQF983063:BQG983063 CAB983063:CAC983063 CJX983063:CJY983063 CTT983063:CTU983063 DDP983063:DDQ983063 DNL983063:DNM983063 DXH983063:DXI983063 EHD983063:EHE983063 EQZ983063:ERA983063 FAV983063:FAW983063 FKR983063:FKS983063 FUN983063:FUO983063 GEJ983063:GEK983063 GOF983063:GOG983063 GYB983063:GYC983063 HHX983063:HHY983063 HRT983063:HRU983063 IBP983063:IBQ983063 ILL983063:ILM983063 IVH983063:IVI983063 JFD983063:JFE983063 JOZ983063:JPA983063 JYV983063:JYW983063 KIR983063:KIS983063 KSN983063:KSO983063 LCJ983063:LCK983063 LMF983063:LMG983063 LWB983063:LWC983063 MFX983063:MFY983063 MPT983063:MPU983063 MZP983063:MZQ983063 NJL983063:NJM983063 NTH983063:NTI983063 ODD983063:ODE983063 OMZ983063:ONA983063 OWV983063:OWW983063 PGR983063:PGS983063 PQN983063:PQO983063 QAJ983063:QAK983063 QKF983063:QKG983063 QUB983063:QUC983063 RDX983063:RDY983063 RNT983063:RNU983063 RXP983063:RXQ983063 SHL983063:SHM983063 SRH983063:SRI983063 TBD983063:TBE983063 TKZ983063:TLA983063 TUV983063:TUW983063 UER983063:UES983063 UON983063:UOO983063 UYJ983063:UYK983063 VIF983063:VIG983063 VSB983063:VSC983063 WBX983063:WBY983063 WLT983063:WLU983063 WVP983063:WVQ983063" xr:uid="{245CB017-DB24-4572-9CD1-3A7E0E941D37}">
      <formula1>$P$50:$P$63</formula1>
    </dataValidation>
    <dataValidation type="list" allowBlank="1" showInputMessage="1" showErrorMessage="1" sqref="G25 JC25 SY25 ACU25 AMQ25 AWM25 BGI25 BQE25 CAA25 CJW25 CTS25 DDO25 DNK25 DXG25 EHC25 EQY25 FAU25 FKQ25 FUM25 GEI25 GOE25 GYA25 HHW25 HRS25 IBO25 ILK25 IVG25 JFC25 JOY25 JYU25 KIQ25 KSM25 LCI25 LME25 LWA25 MFW25 MPS25 MZO25 NJK25 NTG25 ODC25 OMY25 OWU25 PGQ25 PQM25 QAI25 QKE25 QUA25 RDW25 RNS25 RXO25 SHK25 SRG25 TBC25 TKY25 TUU25 UEQ25 UOM25 UYI25 VIE25 VSA25 WBW25 WLS25 WVO25 G65561 JC65561 SY65561 ACU65561 AMQ65561 AWM65561 BGI65561 BQE65561 CAA65561 CJW65561 CTS65561 DDO65561 DNK65561 DXG65561 EHC65561 EQY65561 FAU65561 FKQ65561 FUM65561 GEI65561 GOE65561 GYA65561 HHW65561 HRS65561 IBO65561 ILK65561 IVG65561 JFC65561 JOY65561 JYU65561 KIQ65561 KSM65561 LCI65561 LME65561 LWA65561 MFW65561 MPS65561 MZO65561 NJK65561 NTG65561 ODC65561 OMY65561 OWU65561 PGQ65561 PQM65561 QAI65561 QKE65561 QUA65561 RDW65561 RNS65561 RXO65561 SHK65561 SRG65561 TBC65561 TKY65561 TUU65561 UEQ65561 UOM65561 UYI65561 VIE65561 VSA65561 WBW65561 WLS65561 WVO65561 G131097 JC131097 SY131097 ACU131097 AMQ131097 AWM131097 BGI131097 BQE131097 CAA131097 CJW131097 CTS131097 DDO131097 DNK131097 DXG131097 EHC131097 EQY131097 FAU131097 FKQ131097 FUM131097 GEI131097 GOE131097 GYA131097 HHW131097 HRS131097 IBO131097 ILK131097 IVG131097 JFC131097 JOY131097 JYU131097 KIQ131097 KSM131097 LCI131097 LME131097 LWA131097 MFW131097 MPS131097 MZO131097 NJK131097 NTG131097 ODC131097 OMY131097 OWU131097 PGQ131097 PQM131097 QAI131097 QKE131097 QUA131097 RDW131097 RNS131097 RXO131097 SHK131097 SRG131097 TBC131097 TKY131097 TUU131097 UEQ131097 UOM131097 UYI131097 VIE131097 VSA131097 WBW131097 WLS131097 WVO131097 G196633 JC196633 SY196633 ACU196633 AMQ196633 AWM196633 BGI196633 BQE196633 CAA196633 CJW196633 CTS196633 DDO196633 DNK196633 DXG196633 EHC196633 EQY196633 FAU196633 FKQ196633 FUM196633 GEI196633 GOE196633 GYA196633 HHW196633 HRS196633 IBO196633 ILK196633 IVG196633 JFC196633 JOY196633 JYU196633 KIQ196633 KSM196633 LCI196633 LME196633 LWA196633 MFW196633 MPS196633 MZO196633 NJK196633 NTG196633 ODC196633 OMY196633 OWU196633 PGQ196633 PQM196633 QAI196633 QKE196633 QUA196633 RDW196633 RNS196633 RXO196633 SHK196633 SRG196633 TBC196633 TKY196633 TUU196633 UEQ196633 UOM196633 UYI196633 VIE196633 VSA196633 WBW196633 WLS196633 WVO196633 G262169 JC262169 SY262169 ACU262169 AMQ262169 AWM262169 BGI262169 BQE262169 CAA262169 CJW262169 CTS262169 DDO262169 DNK262169 DXG262169 EHC262169 EQY262169 FAU262169 FKQ262169 FUM262169 GEI262169 GOE262169 GYA262169 HHW262169 HRS262169 IBO262169 ILK262169 IVG262169 JFC262169 JOY262169 JYU262169 KIQ262169 KSM262169 LCI262169 LME262169 LWA262169 MFW262169 MPS262169 MZO262169 NJK262169 NTG262169 ODC262169 OMY262169 OWU262169 PGQ262169 PQM262169 QAI262169 QKE262169 QUA262169 RDW262169 RNS262169 RXO262169 SHK262169 SRG262169 TBC262169 TKY262169 TUU262169 UEQ262169 UOM262169 UYI262169 VIE262169 VSA262169 WBW262169 WLS262169 WVO262169 G327705 JC327705 SY327705 ACU327705 AMQ327705 AWM327705 BGI327705 BQE327705 CAA327705 CJW327705 CTS327705 DDO327705 DNK327705 DXG327705 EHC327705 EQY327705 FAU327705 FKQ327705 FUM327705 GEI327705 GOE327705 GYA327705 HHW327705 HRS327705 IBO327705 ILK327705 IVG327705 JFC327705 JOY327705 JYU327705 KIQ327705 KSM327705 LCI327705 LME327705 LWA327705 MFW327705 MPS327705 MZO327705 NJK327705 NTG327705 ODC327705 OMY327705 OWU327705 PGQ327705 PQM327705 QAI327705 QKE327705 QUA327705 RDW327705 RNS327705 RXO327705 SHK327705 SRG327705 TBC327705 TKY327705 TUU327705 UEQ327705 UOM327705 UYI327705 VIE327705 VSA327705 WBW327705 WLS327705 WVO327705 G393241 JC393241 SY393241 ACU393241 AMQ393241 AWM393241 BGI393241 BQE393241 CAA393241 CJW393241 CTS393241 DDO393241 DNK393241 DXG393241 EHC393241 EQY393241 FAU393241 FKQ393241 FUM393241 GEI393241 GOE393241 GYA393241 HHW393241 HRS393241 IBO393241 ILK393241 IVG393241 JFC393241 JOY393241 JYU393241 KIQ393241 KSM393241 LCI393241 LME393241 LWA393241 MFW393241 MPS393241 MZO393241 NJK393241 NTG393241 ODC393241 OMY393241 OWU393241 PGQ393241 PQM393241 QAI393241 QKE393241 QUA393241 RDW393241 RNS393241 RXO393241 SHK393241 SRG393241 TBC393241 TKY393241 TUU393241 UEQ393241 UOM393241 UYI393241 VIE393241 VSA393241 WBW393241 WLS393241 WVO393241 G458777 JC458777 SY458777 ACU458777 AMQ458777 AWM458777 BGI458777 BQE458777 CAA458777 CJW458777 CTS458777 DDO458777 DNK458777 DXG458777 EHC458777 EQY458777 FAU458777 FKQ458777 FUM458777 GEI458777 GOE458777 GYA458777 HHW458777 HRS458777 IBO458777 ILK458777 IVG458777 JFC458777 JOY458777 JYU458777 KIQ458777 KSM458777 LCI458777 LME458777 LWA458777 MFW458777 MPS458777 MZO458777 NJK458777 NTG458777 ODC458777 OMY458777 OWU458777 PGQ458777 PQM458777 QAI458777 QKE458777 QUA458777 RDW458777 RNS458777 RXO458777 SHK458777 SRG458777 TBC458777 TKY458777 TUU458777 UEQ458777 UOM458777 UYI458777 VIE458777 VSA458777 WBW458777 WLS458777 WVO458777 G524313 JC524313 SY524313 ACU524313 AMQ524313 AWM524313 BGI524313 BQE524313 CAA524313 CJW524313 CTS524313 DDO524313 DNK524313 DXG524313 EHC524313 EQY524313 FAU524313 FKQ524313 FUM524313 GEI524313 GOE524313 GYA524313 HHW524313 HRS524313 IBO524313 ILK524313 IVG524313 JFC524313 JOY524313 JYU524313 KIQ524313 KSM524313 LCI524313 LME524313 LWA524313 MFW524313 MPS524313 MZO524313 NJK524313 NTG524313 ODC524313 OMY524313 OWU524313 PGQ524313 PQM524313 QAI524313 QKE524313 QUA524313 RDW524313 RNS524313 RXO524313 SHK524313 SRG524313 TBC524313 TKY524313 TUU524313 UEQ524313 UOM524313 UYI524313 VIE524313 VSA524313 WBW524313 WLS524313 WVO524313 G589849 JC589849 SY589849 ACU589849 AMQ589849 AWM589849 BGI589849 BQE589849 CAA589849 CJW589849 CTS589849 DDO589849 DNK589849 DXG589849 EHC589849 EQY589849 FAU589849 FKQ589849 FUM589849 GEI589849 GOE589849 GYA589849 HHW589849 HRS589849 IBO589849 ILK589849 IVG589849 JFC589849 JOY589849 JYU589849 KIQ589849 KSM589849 LCI589849 LME589849 LWA589849 MFW589849 MPS589849 MZO589849 NJK589849 NTG589849 ODC589849 OMY589849 OWU589849 PGQ589849 PQM589849 QAI589849 QKE589849 QUA589849 RDW589849 RNS589849 RXO589849 SHK589849 SRG589849 TBC589849 TKY589849 TUU589849 UEQ589849 UOM589849 UYI589849 VIE589849 VSA589849 WBW589849 WLS589849 WVO589849 G655385 JC655385 SY655385 ACU655385 AMQ655385 AWM655385 BGI655385 BQE655385 CAA655385 CJW655385 CTS655385 DDO655385 DNK655385 DXG655385 EHC655385 EQY655385 FAU655385 FKQ655385 FUM655385 GEI655385 GOE655385 GYA655385 HHW655385 HRS655385 IBO655385 ILK655385 IVG655385 JFC655385 JOY655385 JYU655385 KIQ655385 KSM655385 LCI655385 LME655385 LWA655385 MFW655385 MPS655385 MZO655385 NJK655385 NTG655385 ODC655385 OMY655385 OWU655385 PGQ655385 PQM655385 QAI655385 QKE655385 QUA655385 RDW655385 RNS655385 RXO655385 SHK655385 SRG655385 TBC655385 TKY655385 TUU655385 UEQ655385 UOM655385 UYI655385 VIE655385 VSA655385 WBW655385 WLS655385 WVO655385 G720921 JC720921 SY720921 ACU720921 AMQ720921 AWM720921 BGI720921 BQE720921 CAA720921 CJW720921 CTS720921 DDO720921 DNK720921 DXG720921 EHC720921 EQY720921 FAU720921 FKQ720921 FUM720921 GEI720921 GOE720921 GYA720921 HHW720921 HRS720921 IBO720921 ILK720921 IVG720921 JFC720921 JOY720921 JYU720921 KIQ720921 KSM720921 LCI720921 LME720921 LWA720921 MFW720921 MPS720921 MZO720921 NJK720921 NTG720921 ODC720921 OMY720921 OWU720921 PGQ720921 PQM720921 QAI720921 QKE720921 QUA720921 RDW720921 RNS720921 RXO720921 SHK720921 SRG720921 TBC720921 TKY720921 TUU720921 UEQ720921 UOM720921 UYI720921 VIE720921 VSA720921 WBW720921 WLS720921 WVO720921 G786457 JC786457 SY786457 ACU786457 AMQ786457 AWM786457 BGI786457 BQE786457 CAA786457 CJW786457 CTS786457 DDO786457 DNK786457 DXG786457 EHC786457 EQY786457 FAU786457 FKQ786457 FUM786457 GEI786457 GOE786457 GYA786457 HHW786457 HRS786457 IBO786457 ILK786457 IVG786457 JFC786457 JOY786457 JYU786457 KIQ786457 KSM786457 LCI786457 LME786457 LWA786457 MFW786457 MPS786457 MZO786457 NJK786457 NTG786457 ODC786457 OMY786457 OWU786457 PGQ786457 PQM786457 QAI786457 QKE786457 QUA786457 RDW786457 RNS786457 RXO786457 SHK786457 SRG786457 TBC786457 TKY786457 TUU786457 UEQ786457 UOM786457 UYI786457 VIE786457 VSA786457 WBW786457 WLS786457 WVO786457 G851993 JC851993 SY851993 ACU851993 AMQ851993 AWM851993 BGI851993 BQE851993 CAA851993 CJW851993 CTS851993 DDO851993 DNK851993 DXG851993 EHC851993 EQY851993 FAU851993 FKQ851993 FUM851993 GEI851993 GOE851993 GYA851993 HHW851993 HRS851993 IBO851993 ILK851993 IVG851993 JFC851993 JOY851993 JYU851993 KIQ851993 KSM851993 LCI851993 LME851993 LWA851993 MFW851993 MPS851993 MZO851993 NJK851993 NTG851993 ODC851993 OMY851993 OWU851993 PGQ851993 PQM851993 QAI851993 QKE851993 QUA851993 RDW851993 RNS851993 RXO851993 SHK851993 SRG851993 TBC851993 TKY851993 TUU851993 UEQ851993 UOM851993 UYI851993 VIE851993 VSA851993 WBW851993 WLS851993 WVO851993 G917529 JC917529 SY917529 ACU917529 AMQ917529 AWM917529 BGI917529 BQE917529 CAA917529 CJW917529 CTS917529 DDO917529 DNK917529 DXG917529 EHC917529 EQY917529 FAU917529 FKQ917529 FUM917529 GEI917529 GOE917529 GYA917529 HHW917529 HRS917529 IBO917529 ILK917529 IVG917529 JFC917529 JOY917529 JYU917529 KIQ917529 KSM917529 LCI917529 LME917529 LWA917529 MFW917529 MPS917529 MZO917529 NJK917529 NTG917529 ODC917529 OMY917529 OWU917529 PGQ917529 PQM917529 QAI917529 QKE917529 QUA917529 RDW917529 RNS917529 RXO917529 SHK917529 SRG917529 TBC917529 TKY917529 TUU917529 UEQ917529 UOM917529 UYI917529 VIE917529 VSA917529 WBW917529 WLS917529 WVO917529 G983065 JC983065 SY983065 ACU983065 AMQ983065 AWM983065 BGI983065 BQE983065 CAA983065 CJW983065 CTS983065 DDO983065 DNK983065 DXG983065 EHC983065 EQY983065 FAU983065 FKQ983065 FUM983065 GEI983065 GOE983065 GYA983065 HHW983065 HRS983065 IBO983065 ILK983065 IVG983065 JFC983065 JOY983065 JYU983065 KIQ983065 KSM983065 LCI983065 LME983065 LWA983065 MFW983065 MPS983065 MZO983065 NJK983065 NTG983065 ODC983065 OMY983065 OWU983065 PGQ983065 PQM983065 QAI983065 QKE983065 QUA983065 RDW983065 RNS983065 RXO983065 SHK983065 SRG983065 TBC983065 TKY983065 TUU983065 UEQ983065 UOM983065 UYI983065 VIE983065 VSA983065 WBW983065 WLS983065 WVO983065" xr:uid="{16BC9B41-21A1-48A6-A41B-EB9FA7823173}">
      <formula1>$Z$38:$AA$38</formula1>
    </dataValidation>
    <dataValidation type="list" allowBlank="1" showInputMessage="1" showErrorMessage="1" sqref="G24 JC24 SY24 ACU24 AMQ24 AWM24 BGI24 BQE24 CAA24 CJW24 CTS24 DDO24 DNK24 DXG24 EHC24 EQY24 FAU24 FKQ24 FUM24 GEI24 GOE24 GYA24 HHW24 HRS24 IBO24 ILK24 IVG24 JFC24 JOY24 JYU24 KIQ24 KSM24 LCI24 LME24 LWA24 MFW24 MPS24 MZO24 NJK24 NTG24 ODC24 OMY24 OWU24 PGQ24 PQM24 QAI24 QKE24 QUA24 RDW24 RNS24 RXO24 SHK24 SRG24 TBC24 TKY24 TUU24 UEQ24 UOM24 UYI24 VIE24 VSA24 WBW24 WLS24 WVO24 G65560 JC65560 SY65560 ACU65560 AMQ65560 AWM65560 BGI65560 BQE65560 CAA65560 CJW65560 CTS65560 DDO65560 DNK65560 DXG65560 EHC65560 EQY65560 FAU65560 FKQ65560 FUM65560 GEI65560 GOE65560 GYA65560 HHW65560 HRS65560 IBO65560 ILK65560 IVG65560 JFC65560 JOY65560 JYU65560 KIQ65560 KSM65560 LCI65560 LME65560 LWA65560 MFW65560 MPS65560 MZO65560 NJK65560 NTG65560 ODC65560 OMY65560 OWU65560 PGQ65560 PQM65560 QAI65560 QKE65560 QUA65560 RDW65560 RNS65560 RXO65560 SHK65560 SRG65560 TBC65560 TKY65560 TUU65560 UEQ65560 UOM65560 UYI65560 VIE65560 VSA65560 WBW65560 WLS65560 WVO65560 G131096 JC131096 SY131096 ACU131096 AMQ131096 AWM131096 BGI131096 BQE131096 CAA131096 CJW131096 CTS131096 DDO131096 DNK131096 DXG131096 EHC131096 EQY131096 FAU131096 FKQ131096 FUM131096 GEI131096 GOE131096 GYA131096 HHW131096 HRS131096 IBO131096 ILK131096 IVG131096 JFC131096 JOY131096 JYU131096 KIQ131096 KSM131096 LCI131096 LME131096 LWA131096 MFW131096 MPS131096 MZO131096 NJK131096 NTG131096 ODC131096 OMY131096 OWU131096 PGQ131096 PQM131096 QAI131096 QKE131096 QUA131096 RDW131096 RNS131096 RXO131096 SHK131096 SRG131096 TBC131096 TKY131096 TUU131096 UEQ131096 UOM131096 UYI131096 VIE131096 VSA131096 WBW131096 WLS131096 WVO131096 G196632 JC196632 SY196632 ACU196632 AMQ196632 AWM196632 BGI196632 BQE196632 CAA196632 CJW196632 CTS196632 DDO196632 DNK196632 DXG196632 EHC196632 EQY196632 FAU196632 FKQ196632 FUM196632 GEI196632 GOE196632 GYA196632 HHW196632 HRS196632 IBO196632 ILK196632 IVG196632 JFC196632 JOY196632 JYU196632 KIQ196632 KSM196632 LCI196632 LME196632 LWA196632 MFW196632 MPS196632 MZO196632 NJK196632 NTG196632 ODC196632 OMY196632 OWU196632 PGQ196632 PQM196632 QAI196632 QKE196632 QUA196632 RDW196632 RNS196632 RXO196632 SHK196632 SRG196632 TBC196632 TKY196632 TUU196632 UEQ196632 UOM196632 UYI196632 VIE196632 VSA196632 WBW196632 WLS196632 WVO196632 G262168 JC262168 SY262168 ACU262168 AMQ262168 AWM262168 BGI262168 BQE262168 CAA262168 CJW262168 CTS262168 DDO262168 DNK262168 DXG262168 EHC262168 EQY262168 FAU262168 FKQ262168 FUM262168 GEI262168 GOE262168 GYA262168 HHW262168 HRS262168 IBO262168 ILK262168 IVG262168 JFC262168 JOY262168 JYU262168 KIQ262168 KSM262168 LCI262168 LME262168 LWA262168 MFW262168 MPS262168 MZO262168 NJK262168 NTG262168 ODC262168 OMY262168 OWU262168 PGQ262168 PQM262168 QAI262168 QKE262168 QUA262168 RDW262168 RNS262168 RXO262168 SHK262168 SRG262168 TBC262168 TKY262168 TUU262168 UEQ262168 UOM262168 UYI262168 VIE262168 VSA262168 WBW262168 WLS262168 WVO262168 G327704 JC327704 SY327704 ACU327704 AMQ327704 AWM327704 BGI327704 BQE327704 CAA327704 CJW327704 CTS327704 DDO327704 DNK327704 DXG327704 EHC327704 EQY327704 FAU327704 FKQ327704 FUM327704 GEI327704 GOE327704 GYA327704 HHW327704 HRS327704 IBO327704 ILK327704 IVG327704 JFC327704 JOY327704 JYU327704 KIQ327704 KSM327704 LCI327704 LME327704 LWA327704 MFW327704 MPS327704 MZO327704 NJK327704 NTG327704 ODC327704 OMY327704 OWU327704 PGQ327704 PQM327704 QAI327704 QKE327704 QUA327704 RDW327704 RNS327704 RXO327704 SHK327704 SRG327704 TBC327704 TKY327704 TUU327704 UEQ327704 UOM327704 UYI327704 VIE327704 VSA327704 WBW327704 WLS327704 WVO327704 G393240 JC393240 SY393240 ACU393240 AMQ393240 AWM393240 BGI393240 BQE393240 CAA393240 CJW393240 CTS393240 DDO393240 DNK393240 DXG393240 EHC393240 EQY393240 FAU393240 FKQ393240 FUM393240 GEI393240 GOE393240 GYA393240 HHW393240 HRS393240 IBO393240 ILK393240 IVG393240 JFC393240 JOY393240 JYU393240 KIQ393240 KSM393240 LCI393240 LME393240 LWA393240 MFW393240 MPS393240 MZO393240 NJK393240 NTG393240 ODC393240 OMY393240 OWU393240 PGQ393240 PQM393240 QAI393240 QKE393240 QUA393240 RDW393240 RNS393240 RXO393240 SHK393240 SRG393240 TBC393240 TKY393240 TUU393240 UEQ393240 UOM393240 UYI393240 VIE393240 VSA393240 WBW393240 WLS393240 WVO393240 G458776 JC458776 SY458776 ACU458776 AMQ458776 AWM458776 BGI458776 BQE458776 CAA458776 CJW458776 CTS458776 DDO458776 DNK458776 DXG458776 EHC458776 EQY458776 FAU458776 FKQ458776 FUM458776 GEI458776 GOE458776 GYA458776 HHW458776 HRS458776 IBO458776 ILK458776 IVG458776 JFC458776 JOY458776 JYU458776 KIQ458776 KSM458776 LCI458776 LME458776 LWA458776 MFW458776 MPS458776 MZO458776 NJK458776 NTG458776 ODC458776 OMY458776 OWU458776 PGQ458776 PQM458776 QAI458776 QKE458776 QUA458776 RDW458776 RNS458776 RXO458776 SHK458776 SRG458776 TBC458776 TKY458776 TUU458776 UEQ458776 UOM458776 UYI458776 VIE458776 VSA458776 WBW458776 WLS458776 WVO458776 G524312 JC524312 SY524312 ACU524312 AMQ524312 AWM524312 BGI524312 BQE524312 CAA524312 CJW524312 CTS524312 DDO524312 DNK524312 DXG524312 EHC524312 EQY524312 FAU524312 FKQ524312 FUM524312 GEI524312 GOE524312 GYA524312 HHW524312 HRS524312 IBO524312 ILK524312 IVG524312 JFC524312 JOY524312 JYU524312 KIQ524312 KSM524312 LCI524312 LME524312 LWA524312 MFW524312 MPS524312 MZO524312 NJK524312 NTG524312 ODC524312 OMY524312 OWU524312 PGQ524312 PQM524312 QAI524312 QKE524312 QUA524312 RDW524312 RNS524312 RXO524312 SHK524312 SRG524312 TBC524312 TKY524312 TUU524312 UEQ524312 UOM524312 UYI524312 VIE524312 VSA524312 WBW524312 WLS524312 WVO524312 G589848 JC589848 SY589848 ACU589848 AMQ589848 AWM589848 BGI589848 BQE589848 CAA589848 CJW589848 CTS589848 DDO589848 DNK589848 DXG589848 EHC589848 EQY589848 FAU589848 FKQ589848 FUM589848 GEI589848 GOE589848 GYA589848 HHW589848 HRS589848 IBO589848 ILK589848 IVG589848 JFC589848 JOY589848 JYU589848 KIQ589848 KSM589848 LCI589848 LME589848 LWA589848 MFW589848 MPS589848 MZO589848 NJK589848 NTG589848 ODC589848 OMY589848 OWU589848 PGQ589848 PQM589848 QAI589848 QKE589848 QUA589848 RDW589848 RNS589848 RXO589848 SHK589848 SRG589848 TBC589848 TKY589848 TUU589848 UEQ589848 UOM589848 UYI589848 VIE589848 VSA589848 WBW589848 WLS589848 WVO589848 G655384 JC655384 SY655384 ACU655384 AMQ655384 AWM655384 BGI655384 BQE655384 CAA655384 CJW655384 CTS655384 DDO655384 DNK655384 DXG655384 EHC655384 EQY655384 FAU655384 FKQ655384 FUM655384 GEI655384 GOE655384 GYA655384 HHW655384 HRS655384 IBO655384 ILK655384 IVG655384 JFC655384 JOY655384 JYU655384 KIQ655384 KSM655384 LCI655384 LME655384 LWA655384 MFW655384 MPS655384 MZO655384 NJK655384 NTG655384 ODC655384 OMY655384 OWU655384 PGQ655384 PQM655384 QAI655384 QKE655384 QUA655384 RDW655384 RNS655384 RXO655384 SHK655384 SRG655384 TBC655384 TKY655384 TUU655384 UEQ655384 UOM655384 UYI655384 VIE655384 VSA655384 WBW655384 WLS655384 WVO655384 G720920 JC720920 SY720920 ACU720920 AMQ720920 AWM720920 BGI720920 BQE720920 CAA720920 CJW720920 CTS720920 DDO720920 DNK720920 DXG720920 EHC720920 EQY720920 FAU720920 FKQ720920 FUM720920 GEI720920 GOE720920 GYA720920 HHW720920 HRS720920 IBO720920 ILK720920 IVG720920 JFC720920 JOY720920 JYU720920 KIQ720920 KSM720920 LCI720920 LME720920 LWA720920 MFW720920 MPS720920 MZO720920 NJK720920 NTG720920 ODC720920 OMY720920 OWU720920 PGQ720920 PQM720920 QAI720920 QKE720920 QUA720920 RDW720920 RNS720920 RXO720920 SHK720920 SRG720920 TBC720920 TKY720920 TUU720920 UEQ720920 UOM720920 UYI720920 VIE720920 VSA720920 WBW720920 WLS720920 WVO720920 G786456 JC786456 SY786456 ACU786456 AMQ786456 AWM786456 BGI786456 BQE786456 CAA786456 CJW786456 CTS786456 DDO786456 DNK786456 DXG786456 EHC786456 EQY786456 FAU786456 FKQ786456 FUM786456 GEI786456 GOE786456 GYA786456 HHW786456 HRS786456 IBO786456 ILK786456 IVG786456 JFC786456 JOY786456 JYU786456 KIQ786456 KSM786456 LCI786456 LME786456 LWA786456 MFW786456 MPS786456 MZO786456 NJK786456 NTG786456 ODC786456 OMY786456 OWU786456 PGQ786456 PQM786456 QAI786456 QKE786456 QUA786456 RDW786456 RNS786456 RXO786456 SHK786456 SRG786456 TBC786456 TKY786456 TUU786456 UEQ786456 UOM786456 UYI786456 VIE786456 VSA786456 WBW786456 WLS786456 WVO786456 G851992 JC851992 SY851992 ACU851992 AMQ851992 AWM851992 BGI851992 BQE851992 CAA851992 CJW851992 CTS851992 DDO851992 DNK851992 DXG851992 EHC851992 EQY851992 FAU851992 FKQ851992 FUM851992 GEI851992 GOE851992 GYA851992 HHW851992 HRS851992 IBO851992 ILK851992 IVG851992 JFC851992 JOY851992 JYU851992 KIQ851992 KSM851992 LCI851992 LME851992 LWA851992 MFW851992 MPS851992 MZO851992 NJK851992 NTG851992 ODC851992 OMY851992 OWU851992 PGQ851992 PQM851992 QAI851992 QKE851992 QUA851992 RDW851992 RNS851992 RXO851992 SHK851992 SRG851992 TBC851992 TKY851992 TUU851992 UEQ851992 UOM851992 UYI851992 VIE851992 VSA851992 WBW851992 WLS851992 WVO851992 G917528 JC917528 SY917528 ACU917528 AMQ917528 AWM917528 BGI917528 BQE917528 CAA917528 CJW917528 CTS917528 DDO917528 DNK917528 DXG917528 EHC917528 EQY917528 FAU917528 FKQ917528 FUM917528 GEI917528 GOE917528 GYA917528 HHW917528 HRS917528 IBO917528 ILK917528 IVG917528 JFC917528 JOY917528 JYU917528 KIQ917528 KSM917528 LCI917528 LME917528 LWA917528 MFW917528 MPS917528 MZO917528 NJK917528 NTG917528 ODC917528 OMY917528 OWU917528 PGQ917528 PQM917528 QAI917528 QKE917528 QUA917528 RDW917528 RNS917528 RXO917528 SHK917528 SRG917528 TBC917528 TKY917528 TUU917528 UEQ917528 UOM917528 UYI917528 VIE917528 VSA917528 WBW917528 WLS917528 WVO917528 G983064 JC983064 SY983064 ACU983064 AMQ983064 AWM983064 BGI983064 BQE983064 CAA983064 CJW983064 CTS983064 DDO983064 DNK983064 DXG983064 EHC983064 EQY983064 FAU983064 FKQ983064 FUM983064 GEI983064 GOE983064 GYA983064 HHW983064 HRS983064 IBO983064 ILK983064 IVG983064 JFC983064 JOY983064 JYU983064 KIQ983064 KSM983064 LCI983064 LME983064 LWA983064 MFW983064 MPS983064 MZO983064 NJK983064 NTG983064 ODC983064 OMY983064 OWU983064 PGQ983064 PQM983064 QAI983064 QKE983064 QUA983064 RDW983064 RNS983064 RXO983064 SHK983064 SRG983064 TBC983064 TKY983064 TUU983064 UEQ983064 UOM983064 UYI983064 VIE983064 VSA983064 WBW983064 WLS983064 WVO983064" xr:uid="{E71303FC-983C-4A9B-AD6C-9722256317CB}">
      <formula1>$Z$39:$AA$39</formula1>
    </dataValidation>
    <dataValidation type="list" allowBlank="1" showInputMessage="1" showErrorMessage="1" sqref="H22 JD22 SZ22 ACV22 AMR22 AWN22 BGJ22 BQF22 CAB22 CJX22 CTT22 DDP22 DNL22 DXH22 EHD22 EQZ22 FAV22 FKR22 FUN22 GEJ22 GOF22 GYB22 HHX22 HRT22 IBP22 ILL22 IVH22 JFD22 JOZ22 JYV22 KIR22 KSN22 LCJ22 LMF22 LWB22 MFX22 MPT22 MZP22 NJL22 NTH22 ODD22 OMZ22 OWV22 PGR22 PQN22 QAJ22 QKF22 QUB22 RDX22 RNT22 RXP22 SHL22 SRH22 TBD22 TKZ22 TUV22 UER22 UON22 UYJ22 VIF22 VSB22 WBX22 WLT22 WVP22 H65558 JD65558 SZ65558 ACV65558 AMR65558 AWN65558 BGJ65558 BQF65558 CAB65558 CJX65558 CTT65558 DDP65558 DNL65558 DXH65558 EHD65558 EQZ65558 FAV65558 FKR65558 FUN65558 GEJ65558 GOF65558 GYB65558 HHX65558 HRT65558 IBP65558 ILL65558 IVH65558 JFD65558 JOZ65558 JYV65558 KIR65558 KSN65558 LCJ65558 LMF65558 LWB65558 MFX65558 MPT65558 MZP65558 NJL65558 NTH65558 ODD65558 OMZ65558 OWV65558 PGR65558 PQN65558 QAJ65558 QKF65558 QUB65558 RDX65558 RNT65558 RXP65558 SHL65558 SRH65558 TBD65558 TKZ65558 TUV65558 UER65558 UON65558 UYJ65558 VIF65558 VSB65558 WBX65558 WLT65558 WVP65558 H131094 JD131094 SZ131094 ACV131094 AMR131094 AWN131094 BGJ131094 BQF131094 CAB131094 CJX131094 CTT131094 DDP131094 DNL131094 DXH131094 EHD131094 EQZ131094 FAV131094 FKR131094 FUN131094 GEJ131094 GOF131094 GYB131094 HHX131094 HRT131094 IBP131094 ILL131094 IVH131094 JFD131094 JOZ131094 JYV131094 KIR131094 KSN131094 LCJ131094 LMF131094 LWB131094 MFX131094 MPT131094 MZP131094 NJL131094 NTH131094 ODD131094 OMZ131094 OWV131094 PGR131094 PQN131094 QAJ131094 QKF131094 QUB131094 RDX131094 RNT131094 RXP131094 SHL131094 SRH131094 TBD131094 TKZ131094 TUV131094 UER131094 UON131094 UYJ131094 VIF131094 VSB131094 WBX131094 WLT131094 WVP131094 H196630 JD196630 SZ196630 ACV196630 AMR196630 AWN196630 BGJ196630 BQF196630 CAB196630 CJX196630 CTT196630 DDP196630 DNL196630 DXH196630 EHD196630 EQZ196630 FAV196630 FKR196630 FUN196630 GEJ196630 GOF196630 GYB196630 HHX196630 HRT196630 IBP196630 ILL196630 IVH196630 JFD196630 JOZ196630 JYV196630 KIR196630 KSN196630 LCJ196630 LMF196630 LWB196630 MFX196630 MPT196630 MZP196630 NJL196630 NTH196630 ODD196630 OMZ196630 OWV196630 PGR196630 PQN196630 QAJ196630 QKF196630 QUB196630 RDX196630 RNT196630 RXP196630 SHL196630 SRH196630 TBD196630 TKZ196630 TUV196630 UER196630 UON196630 UYJ196630 VIF196630 VSB196630 WBX196630 WLT196630 WVP196630 H262166 JD262166 SZ262166 ACV262166 AMR262166 AWN262166 BGJ262166 BQF262166 CAB262166 CJX262166 CTT262166 DDP262166 DNL262166 DXH262166 EHD262166 EQZ262166 FAV262166 FKR262166 FUN262166 GEJ262166 GOF262166 GYB262166 HHX262166 HRT262166 IBP262166 ILL262166 IVH262166 JFD262166 JOZ262166 JYV262166 KIR262166 KSN262166 LCJ262166 LMF262166 LWB262166 MFX262166 MPT262166 MZP262166 NJL262166 NTH262166 ODD262166 OMZ262166 OWV262166 PGR262166 PQN262166 QAJ262166 QKF262166 QUB262166 RDX262166 RNT262166 RXP262166 SHL262166 SRH262166 TBD262166 TKZ262166 TUV262166 UER262166 UON262166 UYJ262166 VIF262166 VSB262166 WBX262166 WLT262166 WVP262166 H327702 JD327702 SZ327702 ACV327702 AMR327702 AWN327702 BGJ327702 BQF327702 CAB327702 CJX327702 CTT327702 DDP327702 DNL327702 DXH327702 EHD327702 EQZ327702 FAV327702 FKR327702 FUN327702 GEJ327702 GOF327702 GYB327702 HHX327702 HRT327702 IBP327702 ILL327702 IVH327702 JFD327702 JOZ327702 JYV327702 KIR327702 KSN327702 LCJ327702 LMF327702 LWB327702 MFX327702 MPT327702 MZP327702 NJL327702 NTH327702 ODD327702 OMZ327702 OWV327702 PGR327702 PQN327702 QAJ327702 QKF327702 QUB327702 RDX327702 RNT327702 RXP327702 SHL327702 SRH327702 TBD327702 TKZ327702 TUV327702 UER327702 UON327702 UYJ327702 VIF327702 VSB327702 WBX327702 WLT327702 WVP327702 H393238 JD393238 SZ393238 ACV393238 AMR393238 AWN393238 BGJ393238 BQF393238 CAB393238 CJX393238 CTT393238 DDP393238 DNL393238 DXH393238 EHD393238 EQZ393238 FAV393238 FKR393238 FUN393238 GEJ393238 GOF393238 GYB393238 HHX393238 HRT393238 IBP393238 ILL393238 IVH393238 JFD393238 JOZ393238 JYV393238 KIR393238 KSN393238 LCJ393238 LMF393238 LWB393238 MFX393238 MPT393238 MZP393238 NJL393238 NTH393238 ODD393238 OMZ393238 OWV393238 PGR393238 PQN393238 QAJ393238 QKF393238 QUB393238 RDX393238 RNT393238 RXP393238 SHL393238 SRH393238 TBD393238 TKZ393238 TUV393238 UER393238 UON393238 UYJ393238 VIF393238 VSB393238 WBX393238 WLT393238 WVP393238 H458774 JD458774 SZ458774 ACV458774 AMR458774 AWN458774 BGJ458774 BQF458774 CAB458774 CJX458774 CTT458774 DDP458774 DNL458774 DXH458774 EHD458774 EQZ458774 FAV458774 FKR458774 FUN458774 GEJ458774 GOF458774 GYB458774 HHX458774 HRT458774 IBP458774 ILL458774 IVH458774 JFD458774 JOZ458774 JYV458774 KIR458774 KSN458774 LCJ458774 LMF458774 LWB458774 MFX458774 MPT458774 MZP458774 NJL458774 NTH458774 ODD458774 OMZ458774 OWV458774 PGR458774 PQN458774 QAJ458774 QKF458774 QUB458774 RDX458774 RNT458774 RXP458774 SHL458774 SRH458774 TBD458774 TKZ458774 TUV458774 UER458774 UON458774 UYJ458774 VIF458774 VSB458774 WBX458774 WLT458774 WVP458774 H524310 JD524310 SZ524310 ACV524310 AMR524310 AWN524310 BGJ524310 BQF524310 CAB524310 CJX524310 CTT524310 DDP524310 DNL524310 DXH524310 EHD524310 EQZ524310 FAV524310 FKR524310 FUN524310 GEJ524310 GOF524310 GYB524310 HHX524310 HRT524310 IBP524310 ILL524310 IVH524310 JFD524310 JOZ524310 JYV524310 KIR524310 KSN524310 LCJ524310 LMF524310 LWB524310 MFX524310 MPT524310 MZP524310 NJL524310 NTH524310 ODD524310 OMZ524310 OWV524310 PGR524310 PQN524310 QAJ524310 QKF524310 QUB524310 RDX524310 RNT524310 RXP524310 SHL524310 SRH524310 TBD524310 TKZ524310 TUV524310 UER524310 UON524310 UYJ524310 VIF524310 VSB524310 WBX524310 WLT524310 WVP524310 H589846 JD589846 SZ589846 ACV589846 AMR589846 AWN589846 BGJ589846 BQF589846 CAB589846 CJX589846 CTT589846 DDP589846 DNL589846 DXH589846 EHD589846 EQZ589846 FAV589846 FKR589846 FUN589846 GEJ589846 GOF589846 GYB589846 HHX589846 HRT589846 IBP589846 ILL589846 IVH589846 JFD589846 JOZ589846 JYV589846 KIR589846 KSN589846 LCJ589846 LMF589846 LWB589846 MFX589846 MPT589846 MZP589846 NJL589846 NTH589846 ODD589846 OMZ589846 OWV589846 PGR589846 PQN589846 QAJ589846 QKF589846 QUB589846 RDX589846 RNT589846 RXP589846 SHL589846 SRH589846 TBD589846 TKZ589846 TUV589846 UER589846 UON589846 UYJ589846 VIF589846 VSB589846 WBX589846 WLT589846 WVP589846 H655382 JD655382 SZ655382 ACV655382 AMR655382 AWN655382 BGJ655382 BQF655382 CAB655382 CJX655382 CTT655382 DDP655382 DNL655382 DXH655382 EHD655382 EQZ655382 FAV655382 FKR655382 FUN655382 GEJ655382 GOF655382 GYB655382 HHX655382 HRT655382 IBP655382 ILL655382 IVH655382 JFD655382 JOZ655382 JYV655382 KIR655382 KSN655382 LCJ655382 LMF655382 LWB655382 MFX655382 MPT655382 MZP655382 NJL655382 NTH655382 ODD655382 OMZ655382 OWV655382 PGR655382 PQN655382 QAJ655382 QKF655382 QUB655382 RDX655382 RNT655382 RXP655382 SHL655382 SRH655382 TBD655382 TKZ655382 TUV655382 UER655382 UON655382 UYJ655382 VIF655382 VSB655382 WBX655382 WLT655382 WVP655382 H720918 JD720918 SZ720918 ACV720918 AMR720918 AWN720918 BGJ720918 BQF720918 CAB720918 CJX720918 CTT720918 DDP720918 DNL720918 DXH720918 EHD720918 EQZ720918 FAV720918 FKR720918 FUN720918 GEJ720918 GOF720918 GYB720918 HHX720918 HRT720918 IBP720918 ILL720918 IVH720918 JFD720918 JOZ720918 JYV720918 KIR720918 KSN720918 LCJ720918 LMF720918 LWB720918 MFX720918 MPT720918 MZP720918 NJL720918 NTH720918 ODD720918 OMZ720918 OWV720918 PGR720918 PQN720918 QAJ720918 QKF720918 QUB720918 RDX720918 RNT720918 RXP720918 SHL720918 SRH720918 TBD720918 TKZ720918 TUV720918 UER720918 UON720918 UYJ720918 VIF720918 VSB720918 WBX720918 WLT720918 WVP720918 H786454 JD786454 SZ786454 ACV786454 AMR786454 AWN786454 BGJ786454 BQF786454 CAB786454 CJX786454 CTT786454 DDP786454 DNL786454 DXH786454 EHD786454 EQZ786454 FAV786454 FKR786454 FUN786454 GEJ786454 GOF786454 GYB786454 HHX786454 HRT786454 IBP786454 ILL786454 IVH786454 JFD786454 JOZ786454 JYV786454 KIR786454 KSN786454 LCJ786454 LMF786454 LWB786454 MFX786454 MPT786454 MZP786454 NJL786454 NTH786454 ODD786454 OMZ786454 OWV786454 PGR786454 PQN786454 QAJ786454 QKF786454 QUB786454 RDX786454 RNT786454 RXP786454 SHL786454 SRH786454 TBD786454 TKZ786454 TUV786454 UER786454 UON786454 UYJ786454 VIF786454 VSB786454 WBX786454 WLT786454 WVP786454 H851990 JD851990 SZ851990 ACV851990 AMR851990 AWN851990 BGJ851990 BQF851990 CAB851990 CJX851990 CTT851990 DDP851990 DNL851990 DXH851990 EHD851990 EQZ851990 FAV851990 FKR851990 FUN851990 GEJ851990 GOF851990 GYB851990 HHX851990 HRT851990 IBP851990 ILL851990 IVH851990 JFD851990 JOZ851990 JYV851990 KIR851990 KSN851990 LCJ851990 LMF851990 LWB851990 MFX851990 MPT851990 MZP851990 NJL851990 NTH851990 ODD851990 OMZ851990 OWV851990 PGR851990 PQN851990 QAJ851990 QKF851990 QUB851990 RDX851990 RNT851990 RXP851990 SHL851990 SRH851990 TBD851990 TKZ851990 TUV851990 UER851990 UON851990 UYJ851990 VIF851990 VSB851990 WBX851990 WLT851990 WVP851990 H917526 JD917526 SZ917526 ACV917526 AMR917526 AWN917526 BGJ917526 BQF917526 CAB917526 CJX917526 CTT917526 DDP917526 DNL917526 DXH917526 EHD917526 EQZ917526 FAV917526 FKR917526 FUN917526 GEJ917526 GOF917526 GYB917526 HHX917526 HRT917526 IBP917526 ILL917526 IVH917526 JFD917526 JOZ917526 JYV917526 KIR917526 KSN917526 LCJ917526 LMF917526 LWB917526 MFX917526 MPT917526 MZP917526 NJL917526 NTH917526 ODD917526 OMZ917526 OWV917526 PGR917526 PQN917526 QAJ917526 QKF917526 QUB917526 RDX917526 RNT917526 RXP917526 SHL917526 SRH917526 TBD917526 TKZ917526 TUV917526 UER917526 UON917526 UYJ917526 VIF917526 VSB917526 WBX917526 WLT917526 WVP917526 H983062 JD983062 SZ983062 ACV983062 AMR983062 AWN983062 BGJ983062 BQF983062 CAB983062 CJX983062 CTT983062 DDP983062 DNL983062 DXH983062 EHD983062 EQZ983062 FAV983062 FKR983062 FUN983062 GEJ983062 GOF983062 GYB983062 HHX983062 HRT983062 IBP983062 ILL983062 IVH983062 JFD983062 JOZ983062 JYV983062 KIR983062 KSN983062 LCJ983062 LMF983062 LWB983062 MFX983062 MPT983062 MZP983062 NJL983062 NTH983062 ODD983062 OMZ983062 OWV983062 PGR983062 PQN983062 QAJ983062 QKF983062 QUB983062 RDX983062 RNT983062 RXP983062 SHL983062 SRH983062 TBD983062 TKZ983062 TUV983062 UER983062 UON983062 UYJ983062 VIF983062 VSB983062 WBX983062 WLT983062 WVP983062" xr:uid="{F76AE40B-5BAB-46DD-B9BF-5947F2B4747E}">
      <formula1>$S$47:$U$47</formula1>
    </dataValidation>
  </dataValidations>
  <printOptions horizontalCentered="1"/>
  <pageMargins left="0.70866141732283472" right="0.70866141732283472" top="0.78740157480314965" bottom="0.78740157480314965" header="0" footer="0"/>
  <pageSetup paperSize="9" scale="89" orientation="portrait" r:id="rId1"/>
  <headerFooter alignWithMargins="0"/>
  <rowBreaks count="3" manualBreakCount="3">
    <brk id="55" min="5" max="13" man="1"/>
    <brk id="110" min="5" max="13" man="1"/>
    <brk id="165" min="5" max="13" man="1"/>
  </rowBreaks>
  <colBreaks count="1" manualBreakCount="1">
    <brk id="15"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2-APP</vt:lpstr>
      <vt:lpstr>'2-APP'!Area_stampa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Mirko Tommasini</dc:creator>
  <cp:lastModifiedBy>Mirko Tommasini</cp:lastModifiedBy>
  <dcterms:created xsi:type="dcterms:W3CDTF">2024-11-05T14:01:20Z</dcterms:created>
  <dcterms:modified xsi:type="dcterms:W3CDTF">2024-11-05T14:13:17Z</dcterms:modified>
</cp:coreProperties>
</file>